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2000" windowHeight="6600" activeTab="0"/>
  </bookViews>
  <sheets>
    <sheet name="About" sheetId="1" r:id="rId1"/>
    <sheet name="Humans" sheetId="2" r:id="rId2"/>
    <sheet name="Kra'Vak" sheetId="3" r:id="rId3"/>
    <sheet name="Sa'Vasku" sheetId="4" r:id="rId4"/>
    <sheet name="Phalons" sheetId="5" r:id="rId5"/>
  </sheets>
  <definedNames>
    <definedName name="_xlnm.Print_Area" localSheetId="1">'Humans'!$A$1:$Q$32</definedName>
    <definedName name="_xlnm.Print_Area" localSheetId="2">'Kra''Vak'!$A$1:$P$32</definedName>
    <definedName name="_xlnm.Print_Area" localSheetId="4">'Phalons'!$A$1:$P$32</definedName>
    <definedName name="_xlnm.Print_Area" localSheetId="3">'Sa''Vasku'!$A$1:$P$32</definedName>
  </definedNames>
  <calcPr fullCalcOnLoad="1"/>
</workbook>
</file>

<file path=xl/sharedStrings.xml><?xml version="1.0" encoding="utf-8"?>
<sst xmlns="http://schemas.openxmlformats.org/spreadsheetml/2006/main" count="334" uniqueCount="196">
  <si>
    <t>About this Workbook</t>
  </si>
  <si>
    <t>Class Name:</t>
  </si>
  <si>
    <t>Nationality:</t>
  </si>
  <si>
    <t>Class Type:</t>
  </si>
  <si>
    <t>Designed by:</t>
  </si>
  <si>
    <t>Hull&amp;Drives</t>
  </si>
  <si>
    <t>Rating</t>
  </si>
  <si>
    <t>Mass</t>
  </si>
  <si>
    <t>Cost</t>
  </si>
  <si>
    <t>Notes</t>
  </si>
  <si>
    <t>Defense</t>
  </si>
  <si>
    <t>Mass Factor</t>
  </si>
  <si>
    <t>PDS</t>
  </si>
  <si>
    <t>Streamlining</t>
  </si>
  <si>
    <t>0-2 (None / Partial / Full)</t>
  </si>
  <si>
    <t>ADFC</t>
  </si>
  <si>
    <t>Other</t>
  </si>
  <si>
    <t>Thrust Factor</t>
  </si>
  <si>
    <t>1-8 Valid</t>
  </si>
  <si>
    <t>Fire Control</t>
  </si>
  <si>
    <t>FTL</t>
  </si>
  <si>
    <t>0-2 (None / Standard / Tug)</t>
  </si>
  <si>
    <t>Minelayer</t>
  </si>
  <si>
    <t>FTL Tug Cap</t>
  </si>
  <si>
    <t>Only applies if FTL is 2</t>
  </si>
  <si>
    <t>Mines</t>
  </si>
  <si>
    <t>Mass 1 per mine</t>
  </si>
  <si>
    <t>Screen Level</t>
  </si>
  <si>
    <t>Minesweeper</t>
  </si>
  <si>
    <t>Mass 1 per point</t>
  </si>
  <si>
    <t>Ortillery</t>
  </si>
  <si>
    <t>Weapons</t>
  </si>
  <si>
    <t>Number</t>
  </si>
  <si>
    <t>X-Arcs</t>
  </si>
  <si>
    <t>Hangar Bay</t>
  </si>
  <si>
    <t>Class 1 Beam</t>
  </si>
  <si>
    <t>Mass 1: 6 arcs standard</t>
  </si>
  <si>
    <t>Cargo Space</t>
  </si>
  <si>
    <t>Mass devoted to cargo</t>
  </si>
  <si>
    <t>Class 2 Beam</t>
  </si>
  <si>
    <t>Passenger Spc</t>
  </si>
  <si>
    <t>Mass devoted to Passengers</t>
  </si>
  <si>
    <t>Class 3 Beam</t>
  </si>
  <si>
    <t>Troop Space</t>
  </si>
  <si>
    <t>Mass devoted to Troops</t>
  </si>
  <si>
    <t>Class 4 Beam</t>
  </si>
  <si>
    <t>Ftr Groups</t>
  </si>
  <si>
    <t>Needle Beam</t>
  </si>
  <si>
    <t>Standard</t>
  </si>
  <si>
    <t>Pulse Torp</t>
  </si>
  <si>
    <t>Heavy</t>
  </si>
  <si>
    <t>SML</t>
  </si>
  <si>
    <t>Fast</t>
  </si>
  <si>
    <t>SL Mag</t>
  </si>
  <si>
    <t>Mass 2 per salvo</t>
  </si>
  <si>
    <t>Interceptor</t>
  </si>
  <si>
    <t>SL Mag (ER)</t>
  </si>
  <si>
    <t>Mass 3 per salvo</t>
  </si>
  <si>
    <t>Attack</t>
  </si>
  <si>
    <t>SMR</t>
  </si>
  <si>
    <t>Long Range</t>
  </si>
  <si>
    <t>SMR (ER)</t>
  </si>
  <si>
    <t>Torpedo</t>
  </si>
  <si>
    <t>Submun. Pack</t>
  </si>
  <si>
    <t>Heavy Mod.</t>
  </si>
  <si>
    <t>Missile</t>
  </si>
  <si>
    <t>Fast Mod.</t>
  </si>
  <si>
    <t>Missile - EMP</t>
  </si>
  <si>
    <t>LR Mod.</t>
  </si>
  <si>
    <t>Missile - Ndl</t>
  </si>
  <si>
    <t>Totals</t>
  </si>
  <si>
    <t>Mass:</t>
  </si>
  <si>
    <t>Cost:</t>
  </si>
  <si>
    <t>Dean Gundberg</t>
  </si>
  <si>
    <t>Values &gt; 2 provide backup systems</t>
  </si>
  <si>
    <t>Mass of small craft carried</t>
  </si>
  <si>
    <t>Cloaking Field</t>
  </si>
  <si>
    <t>Wave Gun</t>
  </si>
  <si>
    <t>Nova Cannon</t>
  </si>
  <si>
    <t xml:space="preserve">Hull </t>
  </si>
  <si>
    <t>Armour</t>
  </si>
  <si>
    <t>Crew Units</t>
  </si>
  <si>
    <t>By Dean Gundberg (based on work by Jarod Noble, Schoon and GZG)</t>
  </si>
  <si>
    <t>e-mail comments to star_ranger@my-deja.com</t>
  </si>
  <si>
    <t>Adv Grav Drives</t>
  </si>
  <si>
    <t>Class 1 K-gun</t>
  </si>
  <si>
    <t>Class 2 K-gun</t>
  </si>
  <si>
    <t>Class 3 K-gun</t>
  </si>
  <si>
    <t>Class 5 K-gun</t>
  </si>
  <si>
    <t>Class 4 K-gun</t>
  </si>
  <si>
    <t>Class 6 K-gun</t>
  </si>
  <si>
    <t>MKP Pack</t>
  </si>
  <si>
    <t>Mass 2: 6 arcs standard</t>
  </si>
  <si>
    <t>Mass 1: single arc</t>
  </si>
  <si>
    <t>Mass 11: single arc</t>
  </si>
  <si>
    <t>Mass 14: single arc</t>
  </si>
  <si>
    <t>Mass 8: single arc</t>
  </si>
  <si>
    <t>Mass 5: single arc</t>
  </si>
  <si>
    <t>Mass 3: single arc</t>
  </si>
  <si>
    <t>Ra'San (Std)</t>
  </si>
  <si>
    <t>Va'San (Heavy)</t>
  </si>
  <si>
    <t>Kra'Vak</t>
  </si>
  <si>
    <t>Phalons</t>
  </si>
  <si>
    <t>Shell - Inner Layer</t>
  </si>
  <si>
    <t>Shell - 2nd Layer</t>
  </si>
  <si>
    <t>Shell - 3rd Layer</t>
  </si>
  <si>
    <t>Shell - 4th Layer</t>
  </si>
  <si>
    <t>Mass 2</t>
  </si>
  <si>
    <t>Mass 3</t>
  </si>
  <si>
    <t>Mass 4</t>
  </si>
  <si>
    <t>Vapor Shrouds</t>
  </si>
  <si>
    <t>PBL class 1</t>
  </si>
  <si>
    <t>PBL class 2</t>
  </si>
  <si>
    <t>PBL class 3</t>
  </si>
  <si>
    <t>PBL class 4</t>
  </si>
  <si>
    <t>PBL class 5</t>
  </si>
  <si>
    <t>PBL class 6</t>
  </si>
  <si>
    <t>Mass 5 per launcher</t>
  </si>
  <si>
    <t>Mass 10 per launcher</t>
  </si>
  <si>
    <t>Mass 15 per launcher</t>
  </si>
  <si>
    <t>Mass 20 per launcher</t>
  </si>
  <si>
    <t>Mass 25 per launcher</t>
  </si>
  <si>
    <t>Mass 30 per launcher</t>
  </si>
  <si>
    <t>Sa'Vasku</t>
  </si>
  <si>
    <t>Biomass</t>
  </si>
  <si>
    <t>Carapace</t>
  </si>
  <si>
    <t>Power Generators</t>
  </si>
  <si>
    <t>Main Drive Node</t>
  </si>
  <si>
    <t>Stinger Node</t>
  </si>
  <si>
    <t>Pod Launcher Node</t>
  </si>
  <si>
    <t>Mass 2: 3 arcs</t>
  </si>
  <si>
    <t>Drone Womb</t>
  </si>
  <si>
    <t>Screen Nodes</t>
  </si>
  <si>
    <t>Spicules</t>
  </si>
  <si>
    <t>Cortex Nodes</t>
  </si>
  <si>
    <t>Thrust Table</t>
  </si>
  <si>
    <t>Damage</t>
  </si>
  <si>
    <t>Rows</t>
  </si>
  <si>
    <t>Power</t>
  </si>
  <si>
    <t>Generators</t>
  </si>
  <si>
    <t>as PDS</t>
  </si>
  <si>
    <t>See Thrust Table</t>
  </si>
  <si>
    <t>0=None 1=Std</t>
  </si>
  <si>
    <t>Power Req</t>
  </si>
  <si>
    <t>See Table</t>
  </si>
  <si>
    <r>
      <t>6+</t>
    </r>
    <r>
      <rPr>
        <sz val="9"/>
        <color indexed="12"/>
        <rFont val="Arial"/>
        <family val="2"/>
      </rPr>
      <t>6Biomass</t>
    </r>
  </si>
  <si>
    <t>1 each</t>
  </si>
  <si>
    <t>Range</t>
  </si>
  <si>
    <t>Power/Die</t>
  </si>
  <si>
    <t>0-12</t>
  </si>
  <si>
    <t>12-24</t>
  </si>
  <si>
    <t>24-36</t>
  </si>
  <si>
    <t>36-48</t>
  </si>
  <si>
    <t>48-60</t>
  </si>
  <si>
    <t>60-72</t>
  </si>
  <si>
    <t>Humans</t>
  </si>
  <si>
    <t>Scattergun</t>
  </si>
  <si>
    <t>Stinger Cost</t>
  </si>
  <si>
    <t>per Beam Die</t>
  </si>
  <si>
    <r>
      <t>3</t>
    </r>
    <r>
      <rPr>
        <sz val="9"/>
        <color indexed="12"/>
        <rFont val="Arial"/>
        <family val="2"/>
      </rPr>
      <t>+1 Biomass</t>
    </r>
  </si>
  <si>
    <t>Nith (Std)</t>
  </si>
  <si>
    <t>Tuus (Heavy)</t>
  </si>
  <si>
    <t>Vaan (Int)</t>
  </si>
  <si>
    <t>With the release of Fleet Book 2: The Xeno Wars, I made further modifications to include sheets for the Kra'Vak, Sa'Vasku, and Phalons.</t>
  </si>
  <si>
    <t>Mass 2, +1 per extra 3 arcs: 3 std</t>
  </si>
  <si>
    <t>Mass 4, +1 per extra arc: 1 std</t>
  </si>
  <si>
    <t>Mass 8, +2 per extra arc: 1 std</t>
  </si>
  <si>
    <t>Mass 4,+1 per extra arc: 1 std (3 max)</t>
  </si>
  <si>
    <t>Reflex Field</t>
  </si>
  <si>
    <t>Fighter Cost</t>
  </si>
  <si>
    <t>Pulser: 1 arc</t>
  </si>
  <si>
    <t>Mass 3, +1 for 2nd arc, 1 arc std</t>
  </si>
  <si>
    <t>UN Codename:</t>
  </si>
  <si>
    <t>P</t>
  </si>
  <si>
    <t>T</t>
  </si>
  <si>
    <t>P Dmg</t>
  </si>
  <si>
    <t>Colbert</t>
  </si>
  <si>
    <t>Escort Cruiser</t>
  </si>
  <si>
    <t>FSE</t>
  </si>
  <si>
    <t>Pulser: 3 arc</t>
  </si>
  <si>
    <t>Pulser: 6 arc</t>
  </si>
  <si>
    <r>
      <t xml:space="preserve">Ko'Dak </t>
    </r>
    <r>
      <rPr>
        <b/>
        <sz val="10"/>
        <color indexed="8"/>
        <rFont val="Arial"/>
        <family val="2"/>
      </rPr>
      <t>(Attack Deadly Flyer)</t>
    </r>
  </si>
  <si>
    <t>Var'Ath'Sha</t>
  </si>
  <si>
    <t>Strike Ship</t>
  </si>
  <si>
    <t>Slipknot</t>
  </si>
  <si>
    <t>Kamra</t>
  </si>
  <si>
    <t>Pthubt</t>
  </si>
  <si>
    <t>Protector (Destroyer)</t>
  </si>
  <si>
    <t>Piano</t>
  </si>
  <si>
    <t>Battlecruiser</t>
  </si>
  <si>
    <t>Fleet Book 2 Designer Version 1.1</t>
  </si>
  <si>
    <t>Fleet Book 2 Designer Version 1.1 for Full Thrust</t>
  </si>
  <si>
    <r>
      <t xml:space="preserve">It turns out Schoon has a v0.5 out there so thus the name change to </t>
    </r>
    <r>
      <rPr>
        <b/>
        <sz val="10"/>
        <rFont val="Arial"/>
        <family val="2"/>
      </rPr>
      <t>Fleet Book 2 Designer</t>
    </r>
    <r>
      <rPr>
        <sz val="10"/>
        <rFont val="Arial"/>
        <family val="0"/>
      </rPr>
      <t>.  Also Oerjan found a couple of errors, one in the Sa'Vasku calculations and in how Thrust, FTL and Streamlining did not use a minimum of 1 mass.  These have been corrected so the current version is 1.1.</t>
    </r>
  </si>
  <si>
    <t>I modified Jared's sheet to fit on a 800x600 screen at 75% without scrolling plus added all the systems defined in FB1 that were not included.</t>
  </si>
  <si>
    <t xml:space="preserve">This ship design worksheet is derived from Jared Noble's v0.4 which was based on Schoon's v0.2 Full Thrust 3 Design Worksheet. </t>
  </si>
  <si>
    <t>A small problem was found and corrected where ships with Level 2 screens did not correctly calculate the correct minimum mass for this system.  This only effected ships less than Mass 60.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</si>
</sst>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00"/>
    <numFmt numFmtId="174" formatCode="0.000000"/>
    <numFmt numFmtId="175" formatCode="0.0000000"/>
    <numFmt numFmtId="176" formatCode="0.000"/>
    <numFmt numFmtId="177" formatCode="00000"/>
  </numFmts>
  <fonts count="44">
    <font>
      <sz val="10"/>
      <name val="Arial"/>
      <family val="0"/>
    </font>
    <font>
      <sz val="9"/>
      <color indexed="51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60"/>
      <name val="Arial"/>
      <family val="2"/>
    </font>
    <font>
      <u val="single"/>
      <sz val="9"/>
      <color indexed="60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4"/>
      <name val="Arial"/>
      <family val="2"/>
    </font>
    <font>
      <b/>
      <sz val="14"/>
      <color indexed="14"/>
      <name val="Arial"/>
      <family val="2"/>
    </font>
    <font>
      <sz val="8"/>
      <color indexed="51"/>
      <name val="Arial"/>
      <family val="2"/>
    </font>
    <font>
      <sz val="8"/>
      <color indexed="60"/>
      <name val="Arial"/>
      <family val="2"/>
    </font>
    <font>
      <sz val="9"/>
      <color indexed="17"/>
      <name val="Arial"/>
      <family val="2"/>
    </font>
    <font>
      <b/>
      <sz val="14"/>
      <color indexed="17"/>
      <name val="Arial"/>
      <family val="2"/>
    </font>
    <font>
      <b/>
      <sz val="9"/>
      <color indexed="10"/>
      <name val="Arial"/>
      <family val="2"/>
    </font>
    <font>
      <sz val="9"/>
      <color indexed="55"/>
      <name val="Arial"/>
      <family val="2"/>
    </font>
    <font>
      <sz val="9"/>
      <color indexed="20"/>
      <name val="Arial"/>
      <family val="2"/>
    </font>
    <font>
      <sz val="9"/>
      <color indexed="10"/>
      <name val="Arial"/>
      <family val="2"/>
    </font>
    <font>
      <sz val="9"/>
      <color indexed="56"/>
      <name val="Arial"/>
      <family val="2"/>
    </font>
    <font>
      <b/>
      <sz val="14"/>
      <color indexed="20"/>
      <name val="Arial"/>
      <family val="2"/>
    </font>
    <font>
      <sz val="9"/>
      <color indexed="18"/>
      <name val="Arial"/>
      <family val="2"/>
    </font>
    <font>
      <sz val="9"/>
      <color indexed="58"/>
      <name val="Arial"/>
      <family val="2"/>
    </font>
    <font>
      <sz val="9"/>
      <color indexed="23"/>
      <name val="Arial"/>
      <family val="2"/>
    </font>
    <font>
      <sz val="9"/>
      <color indexed="21"/>
      <name val="Arial"/>
      <family val="2"/>
    </font>
    <font>
      <b/>
      <sz val="14"/>
      <color indexed="8"/>
      <name val="Arial"/>
      <family val="2"/>
    </font>
    <font>
      <sz val="14"/>
      <color indexed="51"/>
      <name val="Arial"/>
      <family val="2"/>
    </font>
    <font>
      <sz val="14"/>
      <color indexed="60"/>
      <name val="Arial"/>
      <family val="2"/>
    </font>
    <font>
      <b/>
      <sz val="14"/>
      <color indexed="60"/>
      <name val="Arial"/>
      <family val="2"/>
    </font>
    <font>
      <b/>
      <sz val="14"/>
      <color indexed="12"/>
      <name val="Arial"/>
      <family val="2"/>
    </font>
    <font>
      <b/>
      <sz val="14"/>
      <color indexed="9"/>
      <name val="Arial"/>
      <family val="2"/>
    </font>
    <font>
      <b/>
      <u val="single"/>
      <sz val="9"/>
      <color indexed="18"/>
      <name val="Arial"/>
      <family val="2"/>
    </font>
    <font>
      <sz val="9"/>
      <color indexed="19"/>
      <name val="Arial"/>
      <family val="2"/>
    </font>
    <font>
      <sz val="9"/>
      <color indexed="16"/>
      <name val="Arial"/>
      <family val="2"/>
    </font>
    <font>
      <sz val="9"/>
      <color indexed="63"/>
      <name val="Arial"/>
      <family val="2"/>
    </font>
    <font>
      <sz val="9"/>
      <color indexed="53"/>
      <name val="Arial"/>
      <family val="2"/>
    </font>
    <font>
      <b/>
      <u val="single"/>
      <sz val="9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6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8" fillId="2" borderId="0" xfId="0" applyFont="1" applyFill="1" applyAlignment="1">
      <alignment vertical="top"/>
    </xf>
    <xf numFmtId="15" fontId="0" fillId="2" borderId="0" xfId="0" applyNumberFormat="1" applyFill="1" applyAlignment="1">
      <alignment vertical="top"/>
    </xf>
    <xf numFmtId="0" fontId="10" fillId="2" borderId="0" xfId="0" applyNumberFormat="1" applyFont="1" applyFill="1" applyAlignment="1" applyProtection="1">
      <alignment horizontal="right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11" fillId="2" borderId="0" xfId="0" applyFont="1" applyFill="1" applyAlignment="1">
      <alignment horizontal="left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/>
    </xf>
    <xf numFmtId="14" fontId="0" fillId="2" borderId="0" xfId="0" applyNumberFormat="1" applyFont="1" applyFill="1" applyAlignment="1">
      <alignment vertical="top"/>
    </xf>
    <xf numFmtId="0" fontId="3" fillId="2" borderId="0" xfId="0" applyFont="1" applyFill="1" applyAlignment="1" applyProtection="1">
      <alignment horizontal="right"/>
      <protection locked="0"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2" fillId="2" borderId="0" xfId="0" applyNumberFormat="1" applyFont="1" applyFill="1" applyAlignment="1" applyProtection="1">
      <alignment horizontal="right"/>
      <protection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 applyProtection="1">
      <alignment horizontal="center"/>
      <protection/>
    </xf>
    <xf numFmtId="0" fontId="15" fillId="2" borderId="0" xfId="0" applyFont="1" applyFill="1" applyAlignment="1">
      <alignment horizontal="center"/>
    </xf>
    <xf numFmtId="0" fontId="15" fillId="2" borderId="0" xfId="0" applyNumberFormat="1" applyFont="1" applyFill="1" applyAlignment="1" applyProtection="1">
      <alignment horizontal="center"/>
      <protection/>
    </xf>
    <xf numFmtId="9" fontId="2" fillId="2" borderId="0" xfId="19" applyFont="1" applyFill="1" applyAlignment="1">
      <alignment/>
    </xf>
    <xf numFmtId="0" fontId="3" fillId="2" borderId="1" xfId="0" applyFont="1" applyFill="1" applyBorder="1" applyAlignment="1" applyProtection="1">
      <alignment horizontal="right"/>
      <protection locked="0"/>
    </xf>
    <xf numFmtId="0" fontId="18" fillId="2" borderId="0" xfId="0" applyFont="1" applyFill="1" applyAlignment="1">
      <alignment/>
    </xf>
    <xf numFmtId="0" fontId="18" fillId="2" borderId="0" xfId="0" applyNumberFormat="1" applyFont="1" applyFill="1" applyAlignment="1" applyProtection="1">
      <alignment horizontal="right"/>
      <protection/>
    </xf>
    <xf numFmtId="0" fontId="18" fillId="2" borderId="0" xfId="0" applyFont="1" applyFill="1" applyAlignment="1">
      <alignment horizontal="center"/>
    </xf>
    <xf numFmtId="0" fontId="18" fillId="2" borderId="0" xfId="0" applyNumberFormat="1" applyFont="1" applyFill="1" applyAlignment="1" applyProtection="1">
      <alignment horizontal="center"/>
      <protection/>
    </xf>
    <xf numFmtId="0" fontId="18" fillId="2" borderId="0" xfId="0" applyFont="1" applyFill="1" applyAlignment="1">
      <alignment horizontal="right"/>
    </xf>
    <xf numFmtId="0" fontId="18" fillId="2" borderId="0" xfId="0" applyFont="1" applyFill="1" applyAlignment="1">
      <alignment horizontal="left"/>
    </xf>
    <xf numFmtId="0" fontId="4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NumberFormat="1" applyFont="1" applyFill="1" applyAlignment="1" applyProtection="1">
      <alignment horizontal="center"/>
      <protection/>
    </xf>
    <xf numFmtId="0" fontId="19" fillId="2" borderId="0" xfId="0" applyFont="1" applyFill="1" applyAlignment="1">
      <alignment/>
    </xf>
    <xf numFmtId="0" fontId="19" fillId="2" borderId="0" xfId="0" applyNumberFormat="1" applyFont="1" applyFill="1" applyAlignment="1" applyProtection="1">
      <alignment horizontal="center"/>
      <protection/>
    </xf>
    <xf numFmtId="0" fontId="19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16" fontId="3" fillId="2" borderId="0" xfId="0" applyNumberFormat="1" applyFont="1" applyFill="1" applyAlignment="1" applyProtection="1" quotePrefix="1">
      <alignment horizontal="center"/>
      <protection locked="0"/>
    </xf>
    <xf numFmtId="0" fontId="3" fillId="2" borderId="0" xfId="0" applyFont="1" applyFill="1" applyAlignment="1" applyProtection="1" quotePrefix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NumberFormat="1" applyFont="1" applyFill="1" applyAlignment="1" applyProtection="1">
      <alignment horizontal="center"/>
      <protection/>
    </xf>
    <xf numFmtId="0" fontId="20" fillId="2" borderId="0" xfId="0" applyFont="1" applyFill="1" applyAlignment="1">
      <alignment/>
    </xf>
    <xf numFmtId="0" fontId="22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Alignment="1">
      <alignment/>
    </xf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1" fillId="2" borderId="0" xfId="0" applyNumberFormat="1" applyFont="1" applyFill="1" applyAlignment="1" applyProtection="1">
      <alignment horizontal="center"/>
      <protection/>
    </xf>
    <xf numFmtId="0" fontId="25" fillId="2" borderId="0" xfId="0" applyFont="1" applyFill="1" applyAlignment="1">
      <alignment horizontal="left"/>
    </xf>
    <xf numFmtId="0" fontId="25" fillId="2" borderId="0" xfId="0" applyNumberFormat="1" applyFont="1" applyFill="1" applyAlignment="1" applyProtection="1">
      <alignment horizontal="right"/>
      <protection/>
    </xf>
    <xf numFmtId="0" fontId="25" fillId="2" borderId="0" xfId="0" applyNumberFormat="1" applyFont="1" applyFill="1" applyAlignment="1" applyProtection="1">
      <alignment horizontal="center"/>
      <protection/>
    </xf>
    <xf numFmtId="0" fontId="25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26" fillId="2" borderId="0" xfId="0" applyFont="1" applyFill="1" applyAlignment="1">
      <alignment horizontal="left"/>
    </xf>
    <xf numFmtId="0" fontId="25" fillId="2" borderId="0" xfId="0" applyFont="1" applyFill="1" applyAlignment="1">
      <alignment horizontal="right"/>
    </xf>
    <xf numFmtId="0" fontId="25" fillId="2" borderId="0" xfId="0" applyFont="1" applyFill="1" applyAlignment="1">
      <alignment horizontal="center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18" fillId="3" borderId="0" xfId="0" applyFont="1" applyFill="1" applyBorder="1" applyAlignment="1" applyProtection="1">
      <alignment horizontal="center"/>
      <protection locked="0"/>
    </xf>
    <xf numFmtId="0" fontId="18" fillId="3" borderId="0" xfId="0" applyFont="1" applyFill="1" applyAlignment="1" applyProtection="1">
      <alignment horizontal="center"/>
      <protection locked="0"/>
    </xf>
    <xf numFmtId="0" fontId="27" fillId="4" borderId="0" xfId="0" applyFont="1" applyFill="1" applyAlignment="1">
      <alignment/>
    </xf>
    <xf numFmtId="0" fontId="28" fillId="4" borderId="0" xfId="0" applyFont="1" applyFill="1" applyAlignment="1">
      <alignment horizontal="right"/>
    </xf>
    <xf numFmtId="0" fontId="29" fillId="4" borderId="0" xfId="0" applyFont="1" applyFill="1" applyAlignment="1">
      <alignment/>
    </xf>
    <xf numFmtId="0" fontId="28" fillId="4" borderId="0" xfId="0" applyFont="1" applyFill="1" applyAlignment="1">
      <alignment/>
    </xf>
    <xf numFmtId="0" fontId="30" fillId="2" borderId="0" xfId="0" applyFont="1" applyFill="1" applyAlignment="1">
      <alignment horizontal="right"/>
    </xf>
    <xf numFmtId="0" fontId="22" fillId="2" borderId="0" xfId="0" applyFont="1" applyFill="1" applyAlignment="1">
      <alignment horizontal="right"/>
    </xf>
    <xf numFmtId="0" fontId="27" fillId="2" borderId="0" xfId="0" applyFont="1" applyFill="1" applyAlignment="1" applyProtection="1">
      <alignment horizontal="left"/>
      <protection locked="0"/>
    </xf>
    <xf numFmtId="0" fontId="27" fillId="2" borderId="0" xfId="0" applyFont="1" applyFill="1" applyAlignment="1" applyProtection="1">
      <alignment horizontal="right"/>
      <protection locked="0"/>
    </xf>
    <xf numFmtId="0" fontId="31" fillId="2" borderId="0" xfId="0" applyFont="1" applyFill="1" applyAlignment="1">
      <alignment horizontal="center"/>
    </xf>
    <xf numFmtId="0" fontId="28" fillId="2" borderId="0" xfId="0" applyFont="1" applyFill="1" applyAlignment="1">
      <alignment/>
    </xf>
    <xf numFmtId="0" fontId="16" fillId="2" borderId="0" xfId="0" applyFont="1" applyFill="1" applyAlignment="1">
      <alignment horizontal="center"/>
    </xf>
    <xf numFmtId="0" fontId="27" fillId="5" borderId="0" xfId="0" applyFont="1" applyFill="1" applyAlignment="1">
      <alignment/>
    </xf>
    <xf numFmtId="0" fontId="28" fillId="5" borderId="0" xfId="0" applyFont="1" applyFill="1" applyAlignment="1">
      <alignment horizontal="right"/>
    </xf>
    <xf numFmtId="0" fontId="29" fillId="5" borderId="0" xfId="0" applyFont="1" applyFill="1" applyAlignment="1">
      <alignment/>
    </xf>
    <xf numFmtId="0" fontId="28" fillId="5" borderId="0" xfId="0" applyFont="1" applyFill="1" applyAlignment="1">
      <alignment/>
    </xf>
    <xf numFmtId="0" fontId="32" fillId="6" borderId="0" xfId="0" applyFont="1" applyFill="1" applyAlignment="1">
      <alignment/>
    </xf>
    <xf numFmtId="0" fontId="28" fillId="6" borderId="0" xfId="0" applyFont="1" applyFill="1" applyAlignment="1">
      <alignment horizontal="right"/>
    </xf>
    <xf numFmtId="0" fontId="29" fillId="6" borderId="0" xfId="0" applyFont="1" applyFill="1" applyAlignment="1">
      <alignment/>
    </xf>
    <xf numFmtId="0" fontId="28" fillId="6" borderId="0" xfId="0" applyFont="1" applyFill="1" applyAlignment="1">
      <alignment/>
    </xf>
    <xf numFmtId="0" fontId="27" fillId="7" borderId="0" xfId="0" applyFont="1" applyFill="1" applyAlignment="1">
      <alignment/>
    </xf>
    <xf numFmtId="0" fontId="28" fillId="7" borderId="0" xfId="0" applyFont="1" applyFill="1" applyAlignment="1">
      <alignment horizontal="right"/>
    </xf>
    <xf numFmtId="0" fontId="29" fillId="7" borderId="0" xfId="0" applyFont="1" applyFill="1" applyAlignment="1">
      <alignment/>
    </xf>
    <xf numFmtId="0" fontId="28" fillId="7" borderId="0" xfId="0" applyFont="1" applyFill="1" applyAlignment="1">
      <alignment/>
    </xf>
    <xf numFmtId="0" fontId="25" fillId="3" borderId="0" xfId="0" applyFont="1" applyFill="1" applyAlignment="1" applyProtection="1">
      <alignment horizontal="center"/>
      <protection locked="0"/>
    </xf>
    <xf numFmtId="0" fontId="25" fillId="3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 applyProtection="1">
      <alignment horizontal="center"/>
      <protection locked="0"/>
    </xf>
    <xf numFmtId="9" fontId="2" fillId="2" borderId="0" xfId="19" applyFont="1" applyFill="1" applyAlignment="1" applyProtection="1">
      <alignment horizontal="right"/>
      <protection/>
    </xf>
    <xf numFmtId="9" fontId="18" fillId="2" borderId="0" xfId="19" applyFont="1" applyFill="1" applyAlignment="1" applyProtection="1">
      <alignment horizontal="right"/>
      <protection/>
    </xf>
    <xf numFmtId="0" fontId="23" fillId="2" borderId="0" xfId="0" applyFont="1" applyFill="1" applyAlignment="1">
      <alignment/>
    </xf>
    <xf numFmtId="0" fontId="23" fillId="2" borderId="0" xfId="0" applyFont="1" applyFill="1" applyAlignment="1">
      <alignment horizontal="left"/>
    </xf>
    <xf numFmtId="0" fontId="33" fillId="2" borderId="0" xfId="0" applyFont="1" applyFill="1" applyAlignment="1">
      <alignment/>
    </xf>
    <xf numFmtId="0" fontId="34" fillId="2" borderId="0" xfId="0" applyFont="1" applyFill="1" applyAlignment="1">
      <alignment/>
    </xf>
    <xf numFmtId="0" fontId="35" fillId="2" borderId="0" xfId="0" applyFont="1" applyFill="1" applyAlignment="1">
      <alignment/>
    </xf>
    <xf numFmtId="0" fontId="36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38" fillId="2" borderId="0" xfId="0" applyFont="1" applyFill="1" applyAlignment="1">
      <alignment/>
    </xf>
    <xf numFmtId="0" fontId="0" fillId="8" borderId="0" xfId="0" applyFill="1" applyAlignment="1">
      <alignment vertical="top" wrapText="1"/>
    </xf>
    <xf numFmtId="0" fontId="0" fillId="8" borderId="0" xfId="0" applyFill="1" applyAlignment="1">
      <alignment/>
    </xf>
    <xf numFmtId="0" fontId="40" fillId="8" borderId="0" xfId="0" applyFont="1" applyFill="1" applyAlignment="1">
      <alignment vertical="top" wrapText="1"/>
    </xf>
    <xf numFmtId="0" fontId="40" fillId="8" borderId="0" xfId="0" applyFont="1" applyFill="1" applyAlignment="1">
      <alignment/>
    </xf>
    <xf numFmtId="14" fontId="0" fillId="2" borderId="0" xfId="0" applyNumberFormat="1" applyFill="1" applyAlignment="1">
      <alignment vertical="top"/>
    </xf>
    <xf numFmtId="0" fontId="41" fillId="4" borderId="0" xfId="0" applyFont="1" applyFill="1" applyAlignment="1">
      <alignment horizontal="left"/>
    </xf>
    <xf numFmtId="0" fontId="41" fillId="5" borderId="0" xfId="0" applyFont="1" applyFill="1" applyAlignment="1">
      <alignment horizontal="left"/>
    </xf>
    <xf numFmtId="0" fontId="42" fillId="6" borderId="0" xfId="0" applyFont="1" applyFill="1" applyAlignment="1">
      <alignment horizontal="left"/>
    </xf>
    <xf numFmtId="0" fontId="41" fillId="7" borderId="0" xfId="0" applyFont="1" applyFill="1" applyAlignment="1">
      <alignment horizontal="left"/>
    </xf>
    <xf numFmtId="0" fontId="43" fillId="8" borderId="0" xfId="0" applyFont="1" applyFill="1" applyAlignment="1">
      <alignment vertical="top"/>
    </xf>
    <xf numFmtId="0" fontId="32" fillId="8" borderId="0" xfId="0" applyFont="1" applyFill="1" applyAlignment="1">
      <alignment vertical="top"/>
    </xf>
    <xf numFmtId="0" fontId="2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7" fillId="0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0.57421875" style="13" bestFit="1" customWidth="1"/>
    <col min="2" max="2" width="50.7109375" style="10" customWidth="1"/>
    <col min="3" max="16384" width="9.140625" style="9" customWidth="1"/>
  </cols>
  <sheetData>
    <row r="1" spans="1:2" s="129" customFormat="1" ht="20.25">
      <c r="A1" s="135" t="s">
        <v>191</v>
      </c>
      <c r="B1" s="128"/>
    </row>
    <row r="2" spans="1:2" ht="12.75">
      <c r="A2" s="9"/>
      <c r="B2" s="13" t="s">
        <v>82</v>
      </c>
    </row>
    <row r="3" ht="12.75">
      <c r="B3" s="10" t="s">
        <v>83</v>
      </c>
    </row>
    <row r="5" spans="1:2" s="127" customFormat="1" ht="18">
      <c r="A5" s="136" t="s">
        <v>0</v>
      </c>
      <c r="B5" s="126"/>
    </row>
    <row r="6" ht="12" customHeight="1"/>
    <row r="7" ht="38.25">
      <c r="B7" s="10" t="s">
        <v>194</v>
      </c>
    </row>
    <row r="9" ht="38.25">
      <c r="B9" s="10" t="s">
        <v>193</v>
      </c>
    </row>
    <row r="11" ht="38.25">
      <c r="B11" s="10" t="s">
        <v>163</v>
      </c>
    </row>
    <row r="13" spans="1:2" ht="51">
      <c r="A13" s="130">
        <v>37034</v>
      </c>
      <c r="B13" s="10" t="s">
        <v>195</v>
      </c>
    </row>
    <row r="15" spans="1:2" ht="76.5">
      <c r="A15" s="130">
        <v>36755</v>
      </c>
      <c r="B15" s="10" t="s">
        <v>192</v>
      </c>
    </row>
    <row r="17" ht="12.75">
      <c r="A17" s="12"/>
    </row>
    <row r="29" ht="12.75">
      <c r="A29" s="12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spans="1:2" s="20" customFormat="1" ht="12.75">
      <c r="A34" s="14"/>
      <c r="B34" s="19"/>
    </row>
    <row r="35" spans="1:2" s="20" customFormat="1" ht="12.75">
      <c r="A35" s="21"/>
      <c r="B35" s="19"/>
    </row>
    <row r="36" spans="1:2" s="20" customFormat="1" ht="12.75">
      <c r="A36" s="15"/>
      <c r="B36" s="19"/>
    </row>
    <row r="37" spans="1:2" s="20" customFormat="1" ht="12.75">
      <c r="A37" s="15"/>
      <c r="B37" s="19"/>
    </row>
    <row r="38" spans="1:2" s="20" customFormat="1" ht="12.75">
      <c r="A38" s="15"/>
      <c r="B38" s="19"/>
    </row>
    <row r="39" spans="1:2" s="20" customFormat="1" ht="12.75">
      <c r="A39" s="22"/>
      <c r="B39" s="19"/>
    </row>
    <row r="40" spans="1:2" s="20" customFormat="1" ht="12.75">
      <c r="A40" s="14"/>
      <c r="B40" s="19"/>
    </row>
    <row r="41" spans="1:2" s="20" customFormat="1" ht="12.75">
      <c r="A41" s="21"/>
      <c r="B41" s="19"/>
    </row>
    <row r="42" spans="1:2" s="20" customFormat="1" ht="12.75">
      <c r="A42" s="22"/>
      <c r="B42" s="19"/>
    </row>
    <row r="43" spans="1:2" ht="12.75">
      <c r="A43" s="15"/>
      <c r="B43" s="11"/>
    </row>
    <row r="44" spans="1:2" ht="12.75">
      <c r="A44" s="15"/>
      <c r="B44" s="11"/>
    </row>
    <row r="45" spans="1:2" ht="12.75">
      <c r="A45" s="15"/>
      <c r="B45" s="11"/>
    </row>
    <row r="46" spans="1:2" ht="12.75">
      <c r="A46" s="15"/>
      <c r="B46" s="11"/>
    </row>
    <row r="47" spans="1:2" ht="12.75">
      <c r="A47" s="15"/>
      <c r="B47" s="11"/>
    </row>
    <row r="48" spans="1:2" ht="12.75">
      <c r="A48" s="15"/>
      <c r="B48" s="11"/>
    </row>
    <row r="49" spans="1:2" ht="12.75">
      <c r="A49" s="15"/>
      <c r="B49" s="11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3"/>
  <sheetViews>
    <sheetView zoomScale="75" zoomScaleNormal="75" workbookViewId="0" topLeftCell="A1">
      <selection activeCell="M9" sqref="M9"/>
    </sheetView>
  </sheetViews>
  <sheetFormatPr defaultColWidth="9.140625" defaultRowHeight="12.75"/>
  <cols>
    <col min="1" max="1" width="14.421875" style="1" customWidth="1"/>
    <col min="2" max="2" width="6.7109375" style="2" customWidth="1"/>
    <col min="3" max="3" width="7.140625" style="2" customWidth="1"/>
    <col min="4" max="5" width="5.7109375" style="2" customWidth="1"/>
    <col min="6" max="6" width="11.421875" style="3" customWidth="1"/>
    <col min="7" max="7" width="3.8515625" style="3" customWidth="1"/>
    <col min="8" max="8" width="10.421875" style="3" customWidth="1"/>
    <col min="9" max="9" width="5.57421875" style="3" customWidth="1"/>
    <col min="10" max="10" width="13.421875" style="1" customWidth="1"/>
    <col min="11" max="11" width="7.00390625" style="1" customWidth="1"/>
    <col min="12" max="12" width="6.421875" style="1" customWidth="1"/>
    <col min="13" max="13" width="5.7109375" style="1" customWidth="1"/>
    <col min="14" max="14" width="6.7109375" style="1" customWidth="1"/>
    <col min="15" max="15" width="10.421875" style="1" customWidth="1"/>
    <col min="16" max="16" width="9.140625" style="1" customWidth="1"/>
    <col min="17" max="17" width="10.8515625" style="1" customWidth="1"/>
    <col min="18" max="16384" width="9.140625" style="1" customWidth="1"/>
  </cols>
  <sheetData>
    <row r="1" spans="1:9" s="93" customFormat="1" ht="18">
      <c r="A1" s="90" t="s">
        <v>155</v>
      </c>
      <c r="B1" s="91"/>
      <c r="D1" s="91"/>
      <c r="E1" s="131" t="s">
        <v>190</v>
      </c>
      <c r="F1" s="92"/>
      <c r="H1" s="92"/>
      <c r="I1" s="92"/>
    </row>
    <row r="2" spans="1:17" s="99" customFormat="1" ht="18">
      <c r="A2" s="94"/>
      <c r="B2" s="95" t="s">
        <v>1</v>
      </c>
      <c r="C2" s="139" t="s">
        <v>176</v>
      </c>
      <c r="D2" s="139"/>
      <c r="E2" s="139"/>
      <c r="F2" s="139"/>
      <c r="G2" s="96"/>
      <c r="I2" s="95" t="s">
        <v>2</v>
      </c>
      <c r="J2" s="139" t="s">
        <v>178</v>
      </c>
      <c r="K2" s="139"/>
      <c r="L2" s="139"/>
      <c r="M2" s="97"/>
      <c r="N2" s="70" t="s">
        <v>71</v>
      </c>
      <c r="O2" s="98">
        <f>SUM(M6:M31,D7:D31)</f>
        <v>68</v>
      </c>
      <c r="P2" s="137" t="s">
        <v>169</v>
      </c>
      <c r="Q2" s="137"/>
    </row>
    <row r="3" spans="1:17" s="99" customFormat="1" ht="18">
      <c r="A3" s="94"/>
      <c r="B3" s="95" t="s">
        <v>3</v>
      </c>
      <c r="C3" s="139" t="s">
        <v>177</v>
      </c>
      <c r="D3" s="139"/>
      <c r="E3" s="139"/>
      <c r="F3" s="139"/>
      <c r="G3" s="96"/>
      <c r="I3" s="95" t="s">
        <v>4</v>
      </c>
      <c r="J3" s="139" t="s">
        <v>73</v>
      </c>
      <c r="K3" s="139"/>
      <c r="L3" s="139"/>
      <c r="M3" s="97"/>
      <c r="N3" s="70" t="s">
        <v>72</v>
      </c>
      <c r="O3" s="100">
        <f>SUM(E6:E31,N6:N31)</f>
        <v>227</v>
      </c>
      <c r="P3" s="138">
        <f>SUM(O22:O31)</f>
        <v>0</v>
      </c>
      <c r="Q3" s="138"/>
    </row>
    <row r="4" spans="1:17" ht="12">
      <c r="A4" s="24"/>
      <c r="B4" s="25"/>
      <c r="C4" s="25"/>
      <c r="D4" s="25"/>
      <c r="E4" s="25"/>
      <c r="F4" s="26"/>
      <c r="G4" s="26"/>
      <c r="H4" s="26"/>
      <c r="I4" s="26"/>
      <c r="J4" s="24"/>
      <c r="K4" s="24"/>
      <c r="L4" s="24"/>
      <c r="M4" s="24"/>
      <c r="N4" s="24"/>
      <c r="O4" s="24"/>
      <c r="P4" s="24"/>
      <c r="Q4" s="24"/>
    </row>
    <row r="5" spans="1:15" ht="12">
      <c r="A5" s="4" t="s">
        <v>5</v>
      </c>
      <c r="B5" s="64" t="s">
        <v>6</v>
      </c>
      <c r="C5" s="43"/>
      <c r="D5" s="64" t="s">
        <v>7</v>
      </c>
      <c r="E5" s="64" t="s">
        <v>8</v>
      </c>
      <c r="F5" s="71" t="s">
        <v>9</v>
      </c>
      <c r="G5" s="6"/>
      <c r="H5" s="6"/>
      <c r="I5" s="6"/>
      <c r="J5" s="4" t="s">
        <v>10</v>
      </c>
      <c r="K5" s="8"/>
      <c r="L5" s="2"/>
      <c r="M5" s="64" t="s">
        <v>7</v>
      </c>
      <c r="N5" s="64" t="s">
        <v>8</v>
      </c>
      <c r="O5" s="71" t="s">
        <v>9</v>
      </c>
    </row>
    <row r="6" spans="1:15" ht="12">
      <c r="A6" s="118" t="s">
        <v>11</v>
      </c>
      <c r="B6" s="83">
        <v>68</v>
      </c>
      <c r="C6" s="39">
        <f>IF(O2&gt;B6,"Over Mass",IF(O2&lt;B6,"Under Mass",""))</f>
      </c>
      <c r="D6" s="44"/>
      <c r="E6" s="46">
        <f>B6</f>
        <v>68</v>
      </c>
      <c r="F6" s="69">
        <f>IF((ROUND(C7*100,0)&lt;10),"Hull Must Be 10%+","")</f>
      </c>
      <c r="J6" s="124" t="s">
        <v>12</v>
      </c>
      <c r="K6" s="83">
        <v>2</v>
      </c>
      <c r="L6" s="2"/>
      <c r="M6" s="44">
        <f>K6</f>
        <v>2</v>
      </c>
      <c r="N6" s="46">
        <f>3*M6</f>
        <v>6</v>
      </c>
      <c r="O6" s="123"/>
    </row>
    <row r="7" spans="1:15" ht="12">
      <c r="A7" s="118" t="s">
        <v>79</v>
      </c>
      <c r="B7" s="83">
        <v>20</v>
      </c>
      <c r="C7" s="48">
        <f>(B7/B6)</f>
        <v>0.29411764705882354</v>
      </c>
      <c r="D7" s="44">
        <f>B7</f>
        <v>20</v>
      </c>
      <c r="E7" s="46">
        <f aca="true" t="shared" si="0" ref="E7:E12">2*D7</f>
        <v>40</v>
      </c>
      <c r="F7" s="79" t="str">
        <f>IF(C7&lt;0.15,"Fragile Hull",IF(C7&lt;0.25,"Weak Hull",IF(C7&lt;0.35,"Average Hull",IF(C7&lt;0.45,"Strong Hull","Super Hull"))))</f>
        <v>Average Hull</v>
      </c>
      <c r="G7" s="79">
        <f>ROUNDUP((B6/20),0)</f>
        <v>4</v>
      </c>
      <c r="H7" s="80" t="s">
        <v>81</v>
      </c>
      <c r="I7" s="80"/>
      <c r="J7" s="124" t="s">
        <v>15</v>
      </c>
      <c r="K7" s="83"/>
      <c r="L7" s="16" t="str">
        <f>IF(K7=0,"ok",IF(K6=0,"No PDS","ok"))</f>
        <v>ok</v>
      </c>
      <c r="M7" s="44">
        <f>2*K7</f>
        <v>0</v>
      </c>
      <c r="N7" s="46">
        <f>4*M7</f>
        <v>0</v>
      </c>
      <c r="O7" s="123"/>
    </row>
    <row r="8" spans="1:16" ht="12">
      <c r="A8" s="118" t="s">
        <v>80</v>
      </c>
      <c r="B8" s="83"/>
      <c r="C8" s="42"/>
      <c r="D8" s="45">
        <f>B8</f>
        <v>0</v>
      </c>
      <c r="E8" s="47">
        <f t="shared" si="0"/>
        <v>0</v>
      </c>
      <c r="F8" s="123" t="s">
        <v>29</v>
      </c>
      <c r="G8" s="123"/>
      <c r="H8" s="123"/>
      <c r="I8" s="123"/>
      <c r="J8" s="124" t="s">
        <v>27</v>
      </c>
      <c r="K8" s="83"/>
      <c r="L8" s="116">
        <f>K8*0.05</f>
        <v>0</v>
      </c>
      <c r="M8" s="45">
        <f>IF(K8&gt;0,MAX(3*K8,ROUND(L8*B6,0)),0)</f>
        <v>0</v>
      </c>
      <c r="N8" s="47">
        <f>3*M8</f>
        <v>0</v>
      </c>
      <c r="O8" s="123" t="s">
        <v>74</v>
      </c>
      <c r="P8" s="3"/>
    </row>
    <row r="9" spans="1:16" ht="12">
      <c r="A9" s="118" t="s">
        <v>13</v>
      </c>
      <c r="B9" s="83"/>
      <c r="C9" s="116">
        <f>IF(B9&lt;=2,B9*0.1,"0,1,2 valid")</f>
        <v>0</v>
      </c>
      <c r="D9" s="45">
        <f>IF(ROUND(B9*0.1*B6,0)&gt;0,ROUND(B9*0.1*B6,0),IF(B9&gt;0,1,0))</f>
        <v>0</v>
      </c>
      <c r="E9" s="47">
        <f t="shared" si="0"/>
        <v>0</v>
      </c>
      <c r="F9" s="123" t="s">
        <v>14</v>
      </c>
      <c r="G9" s="123"/>
      <c r="H9" s="123"/>
      <c r="I9" s="123"/>
      <c r="J9" s="124" t="s">
        <v>168</v>
      </c>
      <c r="K9" s="83"/>
      <c r="L9" s="40"/>
      <c r="M9" s="45">
        <f>IF(K9&gt;0,MAX(10,ROUND(0.1*B6,0)),0)</f>
        <v>0</v>
      </c>
      <c r="N9" s="47">
        <f>6*M9</f>
        <v>0</v>
      </c>
      <c r="O9" s="123"/>
      <c r="P9" s="3"/>
    </row>
    <row r="10" spans="1:16" ht="12">
      <c r="A10" s="118" t="s">
        <v>17</v>
      </c>
      <c r="B10" s="83">
        <v>6</v>
      </c>
      <c r="C10" s="116">
        <f>ABS(B10*0.05)</f>
        <v>0.30000000000000004</v>
      </c>
      <c r="D10" s="45">
        <f>IF(ABS(ROUND(B10*0.05*B6,0))&gt;0,ABS(ROUND(B10*0.05*B6,0)),IF(B10&gt;0,1,0))</f>
        <v>20</v>
      </c>
      <c r="E10" s="47">
        <f>IF(B10&gt;0,2*D10,ABS(3*D10))</f>
        <v>40</v>
      </c>
      <c r="F10" s="123" t="s">
        <v>18</v>
      </c>
      <c r="G10" s="123">
        <f>IF(B10&lt;0,"Advanced Drives","")</f>
      </c>
      <c r="H10" s="123"/>
      <c r="I10" s="123"/>
      <c r="J10" s="124" t="s">
        <v>76</v>
      </c>
      <c r="K10" s="83"/>
      <c r="L10" s="42"/>
      <c r="M10" s="45">
        <f>IF(K10&gt;0,MAX(2,ROUND(0.1*B6,0)),0)</f>
        <v>0</v>
      </c>
      <c r="N10" s="47">
        <f>M10*10</f>
        <v>0</v>
      </c>
      <c r="O10" s="123"/>
      <c r="P10" s="3"/>
    </row>
    <row r="11" spans="1:15" ht="12">
      <c r="A11" s="118" t="s">
        <v>20</v>
      </c>
      <c r="B11" s="83">
        <v>1</v>
      </c>
      <c r="C11" s="116">
        <f>IF(B11=0,0,IF(B11&lt;=2,0.1,"0,1,2 valid"))</f>
        <v>0.1</v>
      </c>
      <c r="D11" s="45">
        <f>IF(B11=0,0,IF(ROUND(0.1*B6,0)&gt;0,ROUND(0.1*B6,0),1))</f>
        <v>7</v>
      </c>
      <c r="E11" s="47">
        <f t="shared" si="0"/>
        <v>14</v>
      </c>
      <c r="F11" s="123" t="s">
        <v>21</v>
      </c>
      <c r="G11" s="123"/>
      <c r="H11" s="123"/>
      <c r="I11" s="123"/>
      <c r="J11" s="4" t="s">
        <v>16</v>
      </c>
      <c r="K11" s="64"/>
      <c r="L11" s="2"/>
      <c r="M11" s="44"/>
      <c r="N11" s="46"/>
      <c r="O11" s="123"/>
    </row>
    <row r="12" spans="1:15" ht="12">
      <c r="A12" s="119" t="s">
        <v>23</v>
      </c>
      <c r="B12" s="84"/>
      <c r="C12" s="17" t="str">
        <f>IF(B11=2,"ok",IF(B12&lt;&gt;0,"Not Tug","ok"))</f>
        <v>ok</v>
      </c>
      <c r="D12" s="45">
        <f>IF(B11=2,ROUND(0.2*B12,0),0)</f>
        <v>0</v>
      </c>
      <c r="E12" s="47">
        <f t="shared" si="0"/>
        <v>0</v>
      </c>
      <c r="F12" s="123" t="s">
        <v>24</v>
      </c>
      <c r="G12" s="123"/>
      <c r="H12" s="123"/>
      <c r="I12" s="123"/>
      <c r="J12" s="121" t="s">
        <v>19</v>
      </c>
      <c r="K12" s="83">
        <v>2</v>
      </c>
      <c r="L12" s="16" t="str">
        <f>IF(K12&gt;0,"ok",IF(SUM(B15:B31)&gt;0,"No FCon","ok"))</f>
        <v>ok</v>
      </c>
      <c r="M12" s="44">
        <f>K12</f>
        <v>2</v>
      </c>
      <c r="N12" s="46">
        <f>4*M12</f>
        <v>8</v>
      </c>
      <c r="O12" s="123"/>
    </row>
    <row r="13" spans="1:15" ht="12">
      <c r="A13" s="118"/>
      <c r="B13" s="63"/>
      <c r="C13" s="42"/>
      <c r="D13" s="45"/>
      <c r="E13" s="47"/>
      <c r="J13" s="121" t="s">
        <v>22</v>
      </c>
      <c r="K13" s="83"/>
      <c r="L13" s="16" t="str">
        <f>IF(K13=0,"ok",IF(K14=0,"No Mines","ok"))</f>
        <v>ok</v>
      </c>
      <c r="M13" s="44">
        <f>2*K13</f>
        <v>0</v>
      </c>
      <c r="N13" s="46">
        <f>3*M13</f>
        <v>0</v>
      </c>
      <c r="O13" s="123"/>
    </row>
    <row r="14" spans="1:15" ht="12">
      <c r="A14" s="4" t="s">
        <v>31</v>
      </c>
      <c r="B14" s="64" t="s">
        <v>32</v>
      </c>
      <c r="C14" s="8" t="s">
        <v>33</v>
      </c>
      <c r="D14" s="44"/>
      <c r="E14" s="46"/>
      <c r="J14" s="121" t="s">
        <v>25</v>
      </c>
      <c r="K14" s="83"/>
      <c r="L14" s="16" t="str">
        <f>IF(K14=0,"ok",IF(K13=0,"No Layer","ok"))</f>
        <v>ok</v>
      </c>
      <c r="M14" s="44">
        <f>K14</f>
        <v>0</v>
      </c>
      <c r="N14" s="46">
        <f>2*M14</f>
        <v>0</v>
      </c>
      <c r="O14" s="123" t="s">
        <v>26</v>
      </c>
    </row>
    <row r="15" spans="1:15" ht="12">
      <c r="A15" s="122" t="s">
        <v>35</v>
      </c>
      <c r="B15" s="83">
        <v>2</v>
      </c>
      <c r="D15" s="45">
        <f>B15</f>
        <v>2</v>
      </c>
      <c r="E15" s="47">
        <f aca="true" t="shared" si="1" ref="E15:E31">3*D15</f>
        <v>6</v>
      </c>
      <c r="F15" s="123" t="s">
        <v>36</v>
      </c>
      <c r="G15" s="123"/>
      <c r="H15" s="123"/>
      <c r="I15" s="123"/>
      <c r="J15" s="121" t="s">
        <v>28</v>
      </c>
      <c r="K15" s="83"/>
      <c r="L15" s="2"/>
      <c r="M15" s="44">
        <f>5*K15</f>
        <v>0</v>
      </c>
      <c r="N15" s="46">
        <f>3*M15</f>
        <v>0</v>
      </c>
      <c r="O15" s="123"/>
    </row>
    <row r="16" spans="1:15" ht="12">
      <c r="A16" s="122" t="s">
        <v>39</v>
      </c>
      <c r="B16" s="83">
        <v>3</v>
      </c>
      <c r="C16" s="86"/>
      <c r="D16" s="45">
        <f>2*B16+ROUND((C16+1)/3,0)</f>
        <v>6</v>
      </c>
      <c r="E16" s="47">
        <f t="shared" si="1"/>
        <v>18</v>
      </c>
      <c r="F16" s="123" t="s">
        <v>164</v>
      </c>
      <c r="G16" s="123"/>
      <c r="H16" s="123"/>
      <c r="I16" s="123"/>
      <c r="J16" s="121" t="s">
        <v>30</v>
      </c>
      <c r="K16" s="83"/>
      <c r="L16" s="2"/>
      <c r="M16" s="44">
        <f>3*K16</f>
        <v>0</v>
      </c>
      <c r="N16" s="46">
        <f>3*M16</f>
        <v>0</v>
      </c>
      <c r="O16" s="123"/>
    </row>
    <row r="17" spans="1:15" ht="12">
      <c r="A17" s="122" t="s">
        <v>42</v>
      </c>
      <c r="B17" s="83"/>
      <c r="C17" s="86"/>
      <c r="D17" s="45">
        <f>4*B17+C17</f>
        <v>0</v>
      </c>
      <c r="E17" s="47">
        <f t="shared" si="1"/>
        <v>0</v>
      </c>
      <c r="F17" s="123" t="s">
        <v>165</v>
      </c>
      <c r="G17" s="123"/>
      <c r="H17" s="123"/>
      <c r="I17" s="123"/>
      <c r="J17" s="121" t="s">
        <v>34</v>
      </c>
      <c r="K17" s="83"/>
      <c r="L17" s="2"/>
      <c r="M17" s="44">
        <f>IF(K17=0,0,ROUND(1.5*K17,0))</f>
        <v>0</v>
      </c>
      <c r="N17" s="46">
        <f>3*M17</f>
        <v>0</v>
      </c>
      <c r="O17" s="123" t="s">
        <v>75</v>
      </c>
    </row>
    <row r="18" spans="1:15" ht="12">
      <c r="A18" s="122" t="s">
        <v>45</v>
      </c>
      <c r="B18" s="83"/>
      <c r="C18" s="86"/>
      <c r="D18" s="45">
        <f>8*B18+2*C18</f>
        <v>0</v>
      </c>
      <c r="E18" s="47">
        <f t="shared" si="1"/>
        <v>0</v>
      </c>
      <c r="F18" s="123" t="s">
        <v>166</v>
      </c>
      <c r="G18" s="123"/>
      <c r="H18" s="123"/>
      <c r="I18" s="123"/>
      <c r="J18" s="121" t="s">
        <v>37</v>
      </c>
      <c r="K18" s="83"/>
      <c r="L18" s="2"/>
      <c r="M18" s="44">
        <f>K18</f>
        <v>0</v>
      </c>
      <c r="N18" s="46"/>
      <c r="O18" s="123" t="s">
        <v>38</v>
      </c>
    </row>
    <row r="19" spans="1:15" ht="12">
      <c r="A19" s="122" t="s">
        <v>47</v>
      </c>
      <c r="B19" s="83"/>
      <c r="C19" s="58"/>
      <c r="D19" s="45">
        <f>2*B19</f>
        <v>0</v>
      </c>
      <c r="E19" s="47">
        <f t="shared" si="1"/>
        <v>0</v>
      </c>
      <c r="F19" s="123"/>
      <c r="G19" s="123"/>
      <c r="H19" s="123"/>
      <c r="I19" s="123"/>
      <c r="J19" s="121" t="s">
        <v>40</v>
      </c>
      <c r="K19" s="83"/>
      <c r="L19" s="2"/>
      <c r="M19" s="44">
        <f>K19</f>
        <v>0</v>
      </c>
      <c r="N19" s="46"/>
      <c r="O19" s="123" t="s">
        <v>41</v>
      </c>
    </row>
    <row r="20" spans="1:15" ht="12">
      <c r="A20" s="122" t="s">
        <v>49</v>
      </c>
      <c r="B20" s="83"/>
      <c r="C20" s="86"/>
      <c r="D20" s="45">
        <f>4*B20+C20</f>
        <v>0</v>
      </c>
      <c r="E20" s="47">
        <f t="shared" si="1"/>
        <v>0</v>
      </c>
      <c r="F20" s="123" t="s">
        <v>167</v>
      </c>
      <c r="G20" s="123"/>
      <c r="H20" s="123"/>
      <c r="I20" s="123"/>
      <c r="J20" s="121" t="s">
        <v>43</v>
      </c>
      <c r="K20" s="83"/>
      <c r="L20" s="2"/>
      <c r="M20" s="44">
        <f>K20</f>
        <v>0</v>
      </c>
      <c r="N20" s="46"/>
      <c r="O20" s="123" t="s">
        <v>44</v>
      </c>
    </row>
    <row r="21" spans="1:15" ht="12">
      <c r="A21" s="122" t="s">
        <v>51</v>
      </c>
      <c r="B21" s="83">
        <v>1</v>
      </c>
      <c r="C21" s="16" t="str">
        <f>IF(B21=0,"ok",IF(B22+B23=0,"No Mag","ok"))</f>
        <v>ok</v>
      </c>
      <c r="D21" s="45">
        <f>3*B21</f>
        <v>3</v>
      </c>
      <c r="E21" s="47">
        <f t="shared" si="1"/>
        <v>9</v>
      </c>
      <c r="F21" s="123"/>
      <c r="G21" s="123"/>
      <c r="H21" s="123"/>
      <c r="I21" s="123"/>
      <c r="J21" s="4" t="s">
        <v>46</v>
      </c>
      <c r="K21" s="58"/>
      <c r="L21" s="2"/>
      <c r="M21" s="44"/>
      <c r="N21" s="46"/>
      <c r="O21" s="123"/>
    </row>
    <row r="22" spans="1:15" ht="12">
      <c r="A22" s="122" t="s">
        <v>53</v>
      </c>
      <c r="B22" s="83">
        <v>3</v>
      </c>
      <c r="C22" s="16" t="str">
        <f>IF(B22+B23=0,"ok",IF(B21=0,"No SML","ok"))</f>
        <v>ok</v>
      </c>
      <c r="D22" s="45">
        <f>2*B22</f>
        <v>6</v>
      </c>
      <c r="E22" s="47">
        <f t="shared" si="1"/>
        <v>18</v>
      </c>
      <c r="F22" s="123" t="s">
        <v>54</v>
      </c>
      <c r="G22" s="123"/>
      <c r="H22" s="123"/>
      <c r="I22" s="123"/>
      <c r="J22" s="60" t="s">
        <v>48</v>
      </c>
      <c r="K22" s="83"/>
      <c r="L22" s="2"/>
      <c r="M22" s="44">
        <f>9*K22</f>
        <v>0</v>
      </c>
      <c r="N22" s="46">
        <f aca="true" t="shared" si="2" ref="N22:N28">27*K22</f>
        <v>0</v>
      </c>
      <c r="O22" s="87">
        <f>18*K22</f>
        <v>0</v>
      </c>
    </row>
    <row r="23" spans="1:15" ht="12">
      <c r="A23" s="122" t="s">
        <v>56</v>
      </c>
      <c r="B23" s="83"/>
      <c r="C23" s="16" t="str">
        <f>IF(B22+B23=0,"ok",IF(B21=0,"No SML","ok"))</f>
        <v>ok</v>
      </c>
      <c r="D23" s="45">
        <f>3*B23</f>
        <v>0</v>
      </c>
      <c r="E23" s="47">
        <f t="shared" si="1"/>
        <v>0</v>
      </c>
      <c r="F23" s="123" t="s">
        <v>57</v>
      </c>
      <c r="G23" s="123"/>
      <c r="H23" s="123"/>
      <c r="I23" s="123"/>
      <c r="J23" s="60" t="s">
        <v>50</v>
      </c>
      <c r="K23" s="83"/>
      <c r="L23" s="2"/>
      <c r="M23" s="44">
        <f aca="true" t="shared" si="3" ref="M23:M28">9*K23</f>
        <v>0</v>
      </c>
      <c r="N23" s="46">
        <f t="shared" si="2"/>
        <v>0</v>
      </c>
      <c r="O23" s="87">
        <f>30*K23</f>
        <v>0</v>
      </c>
    </row>
    <row r="24" spans="1:15" ht="12">
      <c r="A24" s="122" t="s">
        <v>59</v>
      </c>
      <c r="B24" s="83"/>
      <c r="D24" s="45">
        <f>4*B24</f>
        <v>0</v>
      </c>
      <c r="E24" s="47">
        <f t="shared" si="1"/>
        <v>0</v>
      </c>
      <c r="J24" s="60" t="s">
        <v>52</v>
      </c>
      <c r="K24" s="83"/>
      <c r="L24" s="2"/>
      <c r="M24" s="44">
        <f t="shared" si="3"/>
        <v>0</v>
      </c>
      <c r="N24" s="46">
        <f t="shared" si="2"/>
        <v>0</v>
      </c>
      <c r="O24" s="87">
        <f>24*K24</f>
        <v>0</v>
      </c>
    </row>
    <row r="25" spans="1:15" ht="12">
      <c r="A25" s="122" t="s">
        <v>61</v>
      </c>
      <c r="B25" s="83"/>
      <c r="D25" s="45">
        <f>5*B25</f>
        <v>0</v>
      </c>
      <c r="E25" s="47">
        <f t="shared" si="1"/>
        <v>0</v>
      </c>
      <c r="J25" s="60" t="s">
        <v>55</v>
      </c>
      <c r="K25" s="83"/>
      <c r="L25" s="2"/>
      <c r="M25" s="44">
        <f t="shared" si="3"/>
        <v>0</v>
      </c>
      <c r="N25" s="46">
        <f t="shared" si="2"/>
        <v>0</v>
      </c>
      <c r="O25" s="87">
        <f>18*K25</f>
        <v>0</v>
      </c>
    </row>
    <row r="26" spans="1:15" ht="12">
      <c r="A26" s="122" t="s">
        <v>63</v>
      </c>
      <c r="B26" s="83"/>
      <c r="D26" s="45">
        <f>B26</f>
        <v>0</v>
      </c>
      <c r="E26" s="47">
        <f t="shared" si="1"/>
        <v>0</v>
      </c>
      <c r="J26" s="60" t="s">
        <v>58</v>
      </c>
      <c r="K26" s="83"/>
      <c r="L26" s="2"/>
      <c r="M26" s="44">
        <f t="shared" si="3"/>
        <v>0</v>
      </c>
      <c r="N26" s="46">
        <f t="shared" si="2"/>
        <v>0</v>
      </c>
      <c r="O26" s="87">
        <f>24*K26</f>
        <v>0</v>
      </c>
    </row>
    <row r="27" spans="1:15" ht="12">
      <c r="A27" s="122" t="s">
        <v>65</v>
      </c>
      <c r="B27" s="83"/>
      <c r="D27" s="45">
        <f>2*B27</f>
        <v>0</v>
      </c>
      <c r="E27" s="47">
        <f t="shared" si="1"/>
        <v>0</v>
      </c>
      <c r="J27" s="60" t="s">
        <v>60</v>
      </c>
      <c r="K27" s="83"/>
      <c r="L27" s="2"/>
      <c r="M27" s="44">
        <f t="shared" si="3"/>
        <v>0</v>
      </c>
      <c r="N27" s="46">
        <f t="shared" si="2"/>
        <v>0</v>
      </c>
      <c r="O27" s="87">
        <f>24*K27</f>
        <v>0</v>
      </c>
    </row>
    <row r="28" spans="1:15" ht="12">
      <c r="A28" s="122" t="s">
        <v>67</v>
      </c>
      <c r="B28" s="83"/>
      <c r="D28" s="45">
        <f>2*B28</f>
        <v>0</v>
      </c>
      <c r="E28" s="47">
        <f t="shared" si="1"/>
        <v>0</v>
      </c>
      <c r="J28" s="60" t="s">
        <v>62</v>
      </c>
      <c r="K28" s="83"/>
      <c r="L28" s="2"/>
      <c r="M28" s="44">
        <f t="shared" si="3"/>
        <v>0</v>
      </c>
      <c r="N28" s="46">
        <f t="shared" si="2"/>
        <v>0</v>
      </c>
      <c r="O28" s="87">
        <f>36*K28</f>
        <v>0</v>
      </c>
    </row>
    <row r="29" spans="1:15" ht="12">
      <c r="A29" s="122" t="s">
        <v>69</v>
      </c>
      <c r="B29" s="83"/>
      <c r="D29" s="45">
        <f>2*B29</f>
        <v>0</v>
      </c>
      <c r="E29" s="47">
        <f t="shared" si="1"/>
        <v>0</v>
      </c>
      <c r="J29" s="60" t="s">
        <v>64</v>
      </c>
      <c r="K29" s="83"/>
      <c r="L29" s="16" t="str">
        <f>IF(K29&gt;(K22+SUM(K24:K28)),"Too Many","ok")</f>
        <v>ok</v>
      </c>
      <c r="M29" s="44"/>
      <c r="N29" s="46">
        <f>12*K29</f>
        <v>0</v>
      </c>
      <c r="O29" s="87">
        <f>12*K29</f>
        <v>0</v>
      </c>
    </row>
    <row r="30" spans="1:15" ht="12">
      <c r="A30" s="122" t="s">
        <v>77</v>
      </c>
      <c r="B30" s="85"/>
      <c r="D30" s="45">
        <f>12*B30</f>
        <v>0</v>
      </c>
      <c r="E30" s="47">
        <f t="shared" si="1"/>
        <v>0</v>
      </c>
      <c r="J30" s="60" t="s">
        <v>66</v>
      </c>
      <c r="K30" s="83"/>
      <c r="L30" s="16" t="str">
        <f>IF(K30&gt;(K22+K23+SUM(K25:K28)),"TooMany","ok")</f>
        <v>ok</v>
      </c>
      <c r="M30" s="44"/>
      <c r="N30" s="46">
        <f>6*K30</f>
        <v>0</v>
      </c>
      <c r="O30" s="87">
        <f>6*K30</f>
        <v>0</v>
      </c>
    </row>
    <row r="31" spans="1:15" ht="12">
      <c r="A31" s="122" t="s">
        <v>78</v>
      </c>
      <c r="B31" s="83"/>
      <c r="D31" s="45">
        <f>20*B31</f>
        <v>0</v>
      </c>
      <c r="E31" s="47">
        <f t="shared" si="1"/>
        <v>0</v>
      </c>
      <c r="J31" s="60" t="s">
        <v>68</v>
      </c>
      <c r="K31" s="83"/>
      <c r="L31" s="16" t="str">
        <f>IF(K31&gt;(SUM(K22:K26)+K28),"Too Many","ok")</f>
        <v>ok</v>
      </c>
      <c r="M31" s="44"/>
      <c r="N31" s="46">
        <f>6*K31</f>
        <v>0</v>
      </c>
      <c r="O31" s="87">
        <f>6*K31</f>
        <v>0</v>
      </c>
    </row>
    <row r="32" spans="1:15" ht="12">
      <c r="A32" s="122"/>
      <c r="B32" s="23"/>
      <c r="C32" s="16"/>
      <c r="D32" s="7"/>
      <c r="E32" s="7"/>
      <c r="J32" s="120"/>
      <c r="K32" s="2"/>
      <c r="L32" s="2"/>
      <c r="M32" s="64"/>
      <c r="N32" s="64"/>
      <c r="O32" s="71"/>
    </row>
    <row r="33" spans="1:12" ht="12">
      <c r="A33" s="4"/>
      <c r="B33" s="8"/>
      <c r="D33" s="7"/>
      <c r="E33" s="7"/>
      <c r="J33" s="4"/>
      <c r="K33" s="2"/>
      <c r="L33" s="2"/>
    </row>
    <row r="34" spans="1:5" ht="12">
      <c r="A34" s="3"/>
      <c r="B34" s="23"/>
      <c r="C34" s="16"/>
      <c r="D34" s="7"/>
      <c r="E34" s="7"/>
    </row>
    <row r="35" spans="1:5" ht="12">
      <c r="A35" s="3"/>
      <c r="B35" s="23"/>
      <c r="C35" s="16"/>
      <c r="D35" s="7"/>
      <c r="E35" s="7"/>
    </row>
    <row r="36" spans="1:5" ht="12">
      <c r="A36" s="3"/>
      <c r="B36" s="23"/>
      <c r="C36" s="16"/>
      <c r="D36" s="7"/>
      <c r="E36" s="7"/>
    </row>
    <row r="37" spans="1:39" ht="12">
      <c r="A37" s="27"/>
      <c r="B37" s="28"/>
      <c r="C37" s="29"/>
      <c r="D37" s="30"/>
      <c r="E37" s="30"/>
      <c r="F37" s="27"/>
      <c r="G37" s="27"/>
      <c r="H37" s="27"/>
      <c r="I37" s="27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ht="12">
      <c r="A38" s="27"/>
      <c r="B38" s="28"/>
      <c r="C38" s="29"/>
      <c r="D38" s="30"/>
      <c r="E38" s="30"/>
      <c r="F38" s="27"/>
      <c r="G38" s="27"/>
      <c r="H38" s="27"/>
      <c r="I38" s="27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1:39" ht="12">
      <c r="A39" s="27"/>
      <c r="B39" s="28"/>
      <c r="C39" s="29"/>
      <c r="D39" s="30"/>
      <c r="E39" s="30"/>
      <c r="F39" s="27"/>
      <c r="G39" s="27"/>
      <c r="H39" s="27"/>
      <c r="I39" s="27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1:39" ht="12">
      <c r="A40" s="27"/>
      <c r="B40" s="28"/>
      <c r="C40" s="29"/>
      <c r="D40" s="30"/>
      <c r="E40" s="30"/>
      <c r="F40" s="27"/>
      <c r="G40" s="27"/>
      <c r="H40" s="27"/>
      <c r="I40" s="27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pans="1:39" ht="12">
      <c r="A41" s="27"/>
      <c r="B41" s="28"/>
      <c r="C41" s="29"/>
      <c r="D41" s="30"/>
      <c r="E41" s="30"/>
      <c r="F41" s="27"/>
      <c r="G41" s="27"/>
      <c r="H41" s="27"/>
      <c r="I41" s="27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pans="1:39" ht="12">
      <c r="A42" s="27"/>
      <c r="B42" s="28"/>
      <c r="C42" s="29"/>
      <c r="D42" s="30"/>
      <c r="E42" s="30"/>
      <c r="F42" s="27"/>
      <c r="G42" s="27"/>
      <c r="H42" s="27"/>
      <c r="I42" s="27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1:39" ht="12">
      <c r="A43" s="33"/>
      <c r="B43" s="34"/>
      <c r="C43" s="29"/>
      <c r="D43" s="30"/>
      <c r="E43" s="30"/>
      <c r="F43" s="27"/>
      <c r="G43" s="27"/>
      <c r="H43" s="27"/>
      <c r="I43" s="27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ht="12">
      <c r="A44" s="27"/>
      <c r="B44" s="28"/>
      <c r="C44" s="29"/>
      <c r="D44" s="30"/>
      <c r="E44" s="30"/>
      <c r="F44" s="35"/>
      <c r="G44" s="35"/>
      <c r="H44" s="35"/>
      <c r="I44" s="35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ht="12">
      <c r="A45" s="27"/>
      <c r="B45" s="28"/>
      <c r="C45" s="29"/>
      <c r="D45" s="30"/>
      <c r="E45" s="30"/>
      <c r="F45" s="35"/>
      <c r="G45" s="35"/>
      <c r="H45" s="35"/>
      <c r="I45" s="35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pans="1:39" ht="12">
      <c r="A46" s="27"/>
      <c r="B46" s="28"/>
      <c r="C46" s="29"/>
      <c r="D46" s="30"/>
      <c r="E46" s="30"/>
      <c r="F46" s="35"/>
      <c r="G46" s="35"/>
      <c r="H46" s="35"/>
      <c r="I46" s="35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1:39" ht="12">
      <c r="A47" s="27"/>
      <c r="B47" s="28"/>
      <c r="C47" s="29"/>
      <c r="D47" s="30"/>
      <c r="E47" s="30"/>
      <c r="F47" s="35"/>
      <c r="G47" s="35"/>
      <c r="H47" s="35"/>
      <c r="I47" s="35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1:39" ht="12">
      <c r="A48" s="27"/>
      <c r="B48" s="28"/>
      <c r="C48" s="29"/>
      <c r="D48" s="30"/>
      <c r="E48" s="30"/>
      <c r="F48" s="35"/>
      <c r="G48" s="35"/>
      <c r="H48" s="35"/>
      <c r="I48" s="35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1:39" ht="12">
      <c r="A49" s="27"/>
      <c r="B49" s="28"/>
      <c r="C49" s="29"/>
      <c r="D49" s="30"/>
      <c r="E49" s="30"/>
      <c r="F49" s="35"/>
      <c r="G49" s="35"/>
      <c r="H49" s="35"/>
      <c r="I49" s="35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1:39" ht="12">
      <c r="A50" s="27"/>
      <c r="B50" s="28"/>
      <c r="C50" s="29"/>
      <c r="D50" s="30"/>
      <c r="E50" s="30"/>
      <c r="F50" s="35"/>
      <c r="G50" s="35"/>
      <c r="H50" s="35"/>
      <c r="I50" s="35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spans="1:39" ht="12">
      <c r="A51" s="27"/>
      <c r="B51" s="28"/>
      <c r="C51" s="32"/>
      <c r="D51" s="30"/>
      <c r="E51" s="30"/>
      <c r="F51" s="35"/>
      <c r="G51" s="35"/>
      <c r="H51" s="35"/>
      <c r="I51" s="35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1:39" ht="12">
      <c r="A52" s="27"/>
      <c r="B52" s="28"/>
      <c r="C52" s="32"/>
      <c r="D52" s="30"/>
      <c r="E52" s="30"/>
      <c r="F52" s="35"/>
      <c r="G52" s="35"/>
      <c r="H52" s="35"/>
      <c r="I52" s="35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1:39" ht="12">
      <c r="A53" s="27"/>
      <c r="B53" s="28"/>
      <c r="C53" s="32"/>
      <c r="D53" s="30"/>
      <c r="E53" s="30"/>
      <c r="F53" s="35"/>
      <c r="G53" s="35"/>
      <c r="H53" s="35"/>
      <c r="I53" s="35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39" ht="12">
      <c r="A54" s="33"/>
      <c r="B54" s="29"/>
      <c r="C54" s="29"/>
      <c r="D54" s="36"/>
      <c r="E54" s="36"/>
      <c r="F54" s="37"/>
      <c r="G54" s="37"/>
      <c r="H54" s="37"/>
      <c r="I54" s="37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pans="1:39" ht="12">
      <c r="A55" s="31"/>
      <c r="B55" s="29"/>
      <c r="C55" s="29"/>
      <c r="D55" s="30"/>
      <c r="E55" s="30"/>
      <c r="F55" s="35"/>
      <c r="G55" s="35"/>
      <c r="H55" s="35"/>
      <c r="I55" s="35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  <row r="56" spans="1:39" ht="12">
      <c r="A56" s="31"/>
      <c r="B56" s="29"/>
      <c r="C56" s="29"/>
      <c r="D56" s="29"/>
      <c r="E56" s="29"/>
      <c r="F56" s="27"/>
      <c r="G56" s="27"/>
      <c r="H56" s="27"/>
      <c r="I56" s="27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1:39" ht="12">
      <c r="A57" s="31"/>
      <c r="B57" s="38"/>
      <c r="C57" s="29"/>
      <c r="D57" s="29"/>
      <c r="E57" s="29"/>
      <c r="F57" s="27"/>
      <c r="G57" s="27"/>
      <c r="H57" s="27"/>
      <c r="I57" s="27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</row>
    <row r="58" spans="1:39" ht="12">
      <c r="A58" s="31"/>
      <c r="B58" s="38"/>
      <c r="C58" s="29"/>
      <c r="D58" s="29"/>
      <c r="E58" s="29"/>
      <c r="F58" s="27"/>
      <c r="G58" s="27"/>
      <c r="H58" s="27"/>
      <c r="I58" s="27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</row>
    <row r="59" spans="1:39" ht="12">
      <c r="A59" s="31"/>
      <c r="B59" s="38"/>
      <c r="C59" s="29"/>
      <c r="D59" s="29"/>
      <c r="E59" s="29"/>
      <c r="F59" s="27"/>
      <c r="G59" s="27"/>
      <c r="H59" s="27"/>
      <c r="I59" s="27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ht="12">
      <c r="A60" s="31"/>
      <c r="B60" s="38"/>
      <c r="C60" s="29"/>
      <c r="D60" s="29"/>
      <c r="E60" s="29"/>
      <c r="F60" s="27"/>
      <c r="G60" s="27"/>
      <c r="H60" s="27"/>
      <c r="I60" s="27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</row>
    <row r="61" spans="1:39" ht="12">
      <c r="A61" s="31"/>
      <c r="B61" s="38"/>
      <c r="C61" s="29"/>
      <c r="D61" s="29"/>
      <c r="E61" s="29"/>
      <c r="F61" s="27"/>
      <c r="G61" s="27"/>
      <c r="H61" s="27"/>
      <c r="I61" s="27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</row>
    <row r="62" spans="1:39" ht="12">
      <c r="A62" s="31"/>
      <c r="B62" s="38"/>
      <c r="C62" s="29"/>
      <c r="D62" s="29"/>
      <c r="E62" s="29"/>
      <c r="F62" s="27"/>
      <c r="G62" s="27"/>
      <c r="H62" s="27"/>
      <c r="I62" s="27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</row>
    <row r="63" spans="1:39" ht="12">
      <c r="A63" s="31"/>
      <c r="B63" s="38"/>
      <c r="C63" s="29"/>
      <c r="D63" s="29"/>
      <c r="E63" s="29"/>
      <c r="F63" s="27"/>
      <c r="G63" s="27"/>
      <c r="H63" s="27"/>
      <c r="I63" s="27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</row>
    <row r="64" spans="1:39" ht="12">
      <c r="A64" s="31"/>
      <c r="B64" s="38"/>
      <c r="C64" s="29"/>
      <c r="D64" s="29"/>
      <c r="E64" s="29"/>
      <c r="F64" s="27"/>
      <c r="G64" s="27"/>
      <c r="H64" s="27"/>
      <c r="I64" s="27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1:39" ht="12">
      <c r="A65" s="31"/>
      <c r="B65" s="29"/>
      <c r="C65" s="29"/>
      <c r="D65" s="29"/>
      <c r="E65" s="29"/>
      <c r="F65" s="27"/>
      <c r="G65" s="27"/>
      <c r="H65" s="27"/>
      <c r="I65" s="27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  <row r="66" spans="1:39" ht="12">
      <c r="A66" s="31"/>
      <c r="B66" s="29"/>
      <c r="C66" s="29"/>
      <c r="D66" s="29"/>
      <c r="E66" s="29"/>
      <c r="F66" s="27"/>
      <c r="G66" s="27"/>
      <c r="H66" s="27"/>
      <c r="I66" s="27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</row>
    <row r="67" spans="1:39" ht="12">
      <c r="A67" s="31"/>
      <c r="B67" s="29"/>
      <c r="C67" s="29"/>
      <c r="D67" s="29"/>
      <c r="E67" s="29"/>
      <c r="F67" s="27"/>
      <c r="G67" s="27"/>
      <c r="H67" s="27"/>
      <c r="I67" s="27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  <row r="68" spans="1:39" ht="12">
      <c r="A68" s="31"/>
      <c r="B68" s="29"/>
      <c r="C68" s="29"/>
      <c r="D68" s="29"/>
      <c r="E68" s="29"/>
      <c r="F68" s="27"/>
      <c r="G68" s="27"/>
      <c r="H68" s="27"/>
      <c r="I68" s="27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</row>
    <row r="69" spans="1:39" ht="12">
      <c r="A69" s="31"/>
      <c r="B69" s="29"/>
      <c r="C69" s="29"/>
      <c r="D69" s="29"/>
      <c r="E69" s="29"/>
      <c r="F69" s="27"/>
      <c r="G69" s="27"/>
      <c r="H69" s="27"/>
      <c r="I69" s="27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</row>
    <row r="70" spans="10:39" ht="12"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</row>
    <row r="71" spans="10:17" ht="12">
      <c r="J71" s="31"/>
      <c r="K71" s="31"/>
      <c r="L71" s="31"/>
      <c r="M71" s="31"/>
      <c r="N71" s="31"/>
      <c r="O71" s="31"/>
      <c r="P71" s="31"/>
      <c r="Q71" s="31"/>
    </row>
    <row r="72" spans="10:17" ht="12">
      <c r="J72" s="31"/>
      <c r="K72" s="31"/>
      <c r="L72" s="31"/>
      <c r="M72" s="31"/>
      <c r="N72" s="31"/>
      <c r="O72" s="31"/>
      <c r="P72" s="31"/>
      <c r="Q72" s="31"/>
    </row>
    <row r="73" spans="10:17" ht="12">
      <c r="J73" s="31"/>
      <c r="K73" s="31"/>
      <c r="L73" s="31"/>
      <c r="M73" s="31"/>
      <c r="N73" s="31"/>
      <c r="O73" s="31"/>
      <c r="P73" s="31"/>
      <c r="Q73" s="31"/>
    </row>
  </sheetData>
  <mergeCells count="6">
    <mergeCell ref="P2:Q2"/>
    <mergeCell ref="P3:Q3"/>
    <mergeCell ref="C2:F2"/>
    <mergeCell ref="C3:F3"/>
    <mergeCell ref="J2:L2"/>
    <mergeCell ref="J3:L3"/>
  </mergeCells>
  <printOptions/>
  <pageMargins left="0.5" right="0.5" top="0.5" bottom="0.5" header="0.5" footer="0.5"/>
  <pageSetup fitToHeight="1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zoomScale="75" zoomScaleNormal="75" workbookViewId="0" topLeftCell="A1">
      <selection activeCell="A35" sqref="A35"/>
    </sheetView>
  </sheetViews>
  <sheetFormatPr defaultColWidth="9.140625" defaultRowHeight="12.75"/>
  <cols>
    <col min="1" max="1" width="14.28125" style="1" customWidth="1"/>
    <col min="2" max="2" width="6.7109375" style="2" customWidth="1"/>
    <col min="3" max="3" width="7.140625" style="2" customWidth="1"/>
    <col min="4" max="5" width="5.7109375" style="2" customWidth="1"/>
    <col min="6" max="6" width="12.421875" style="3" customWidth="1"/>
    <col min="7" max="7" width="3.8515625" style="3" customWidth="1"/>
    <col min="8" max="8" width="17.00390625" style="3" customWidth="1"/>
    <col min="9" max="9" width="13.421875" style="1" customWidth="1"/>
    <col min="10" max="10" width="7.421875" style="1" customWidth="1"/>
    <col min="11" max="11" width="6.421875" style="1" customWidth="1"/>
    <col min="12" max="12" width="5.7109375" style="1" customWidth="1"/>
    <col min="13" max="13" width="6.7109375" style="1" customWidth="1"/>
    <col min="14" max="14" width="11.8515625" style="1" customWidth="1"/>
    <col min="15" max="15" width="9.140625" style="1" customWidth="1"/>
    <col min="16" max="16" width="9.421875" style="1" customWidth="1"/>
    <col min="17" max="16384" width="9.140625" style="1" customWidth="1"/>
  </cols>
  <sheetData>
    <row r="1" spans="1:8" s="104" customFormat="1" ht="18">
      <c r="A1" s="101" t="s">
        <v>101</v>
      </c>
      <c r="B1" s="102"/>
      <c r="D1" s="102"/>
      <c r="E1" s="132" t="s">
        <v>190</v>
      </c>
      <c r="F1" s="103"/>
      <c r="G1" s="103"/>
      <c r="H1" s="103"/>
    </row>
    <row r="2" spans="1:16" s="99" customFormat="1" ht="18">
      <c r="A2" s="94"/>
      <c r="B2" s="95" t="s">
        <v>1</v>
      </c>
      <c r="C2" s="139" t="s">
        <v>181</v>
      </c>
      <c r="D2" s="139"/>
      <c r="E2" s="139"/>
      <c r="F2" s="139"/>
      <c r="G2" s="96"/>
      <c r="H2" s="95" t="s">
        <v>172</v>
      </c>
      <c r="I2" s="139" t="s">
        <v>185</v>
      </c>
      <c r="J2" s="139"/>
      <c r="K2" s="139"/>
      <c r="L2" s="97"/>
      <c r="M2" s="70" t="s">
        <v>71</v>
      </c>
      <c r="N2" s="98">
        <f>SUM(L6:L25,D7:D21)</f>
        <v>110</v>
      </c>
      <c r="O2" s="137" t="s">
        <v>169</v>
      </c>
      <c r="P2" s="137"/>
    </row>
    <row r="3" spans="1:16" s="99" customFormat="1" ht="18">
      <c r="A3" s="94"/>
      <c r="B3" s="95" t="s">
        <v>3</v>
      </c>
      <c r="C3" s="139" t="s">
        <v>189</v>
      </c>
      <c r="D3" s="139"/>
      <c r="E3" s="139"/>
      <c r="F3" s="139"/>
      <c r="G3" s="96"/>
      <c r="H3" s="95" t="s">
        <v>4</v>
      </c>
      <c r="I3" s="139" t="s">
        <v>73</v>
      </c>
      <c r="J3" s="139"/>
      <c r="K3" s="139"/>
      <c r="L3" s="97"/>
      <c r="M3" s="70" t="s">
        <v>72</v>
      </c>
      <c r="N3" s="100">
        <f>SUM(E6:E21,M6:M25)</f>
        <v>430</v>
      </c>
      <c r="O3" s="138">
        <f>SUM(N22:N25)</f>
        <v>0</v>
      </c>
      <c r="P3" s="138"/>
    </row>
    <row r="4" spans="1:16" ht="12">
      <c r="A4" s="24"/>
      <c r="B4" s="25"/>
      <c r="C4" s="25"/>
      <c r="D4" s="25"/>
      <c r="E4" s="25"/>
      <c r="F4" s="26"/>
      <c r="G4" s="26"/>
      <c r="H4" s="26"/>
      <c r="I4" s="24"/>
      <c r="J4" s="24"/>
      <c r="K4" s="24"/>
      <c r="L4" s="24"/>
      <c r="M4" s="24"/>
      <c r="N4" s="24"/>
      <c r="O4" s="24"/>
      <c r="P4" s="24"/>
    </row>
    <row r="5" spans="1:14" ht="12">
      <c r="A5" s="4" t="s">
        <v>5</v>
      </c>
      <c r="B5" s="8" t="s">
        <v>6</v>
      </c>
      <c r="C5" s="43"/>
      <c r="D5" s="64" t="s">
        <v>7</v>
      </c>
      <c r="E5" s="64" t="s">
        <v>8</v>
      </c>
      <c r="F5" s="71" t="s">
        <v>9</v>
      </c>
      <c r="G5" s="6"/>
      <c r="H5" s="6"/>
      <c r="I5" s="4" t="s">
        <v>10</v>
      </c>
      <c r="J5" s="8" t="s">
        <v>32</v>
      </c>
      <c r="K5" s="2"/>
      <c r="L5" s="64" t="s">
        <v>7</v>
      </c>
      <c r="M5" s="64" t="s">
        <v>8</v>
      </c>
      <c r="N5" s="71" t="s">
        <v>9</v>
      </c>
    </row>
    <row r="6" spans="1:14" ht="12">
      <c r="A6" s="118" t="s">
        <v>11</v>
      </c>
      <c r="B6" s="83">
        <v>110</v>
      </c>
      <c r="C6" s="39">
        <f>IF(N2&gt;B6,"Over Mass",IF(N2&lt;B6,"Under Mass",""))</f>
      </c>
      <c r="D6" s="44"/>
      <c r="E6" s="46">
        <f>B6</f>
        <v>110</v>
      </c>
      <c r="F6" s="69">
        <f>IF((ROUND(C7*100,0)&lt;10),"Hull Must Be 10%+","")</f>
      </c>
      <c r="I6" s="124" t="s">
        <v>156</v>
      </c>
      <c r="J6" s="83">
        <v>8</v>
      </c>
      <c r="K6" s="2"/>
      <c r="L6" s="44">
        <f>J6</f>
        <v>8</v>
      </c>
      <c r="M6" s="46">
        <f>5*L6</f>
        <v>40</v>
      </c>
      <c r="N6" s="3"/>
    </row>
    <row r="7" spans="1:14" ht="12">
      <c r="A7" s="118" t="s">
        <v>79</v>
      </c>
      <c r="B7" s="83">
        <v>42</v>
      </c>
      <c r="C7" s="48">
        <f>(B7/B6)</f>
        <v>0.38181818181818183</v>
      </c>
      <c r="D7" s="44">
        <f>B7</f>
        <v>42</v>
      </c>
      <c r="E7" s="46">
        <f aca="true" t="shared" si="0" ref="E7:E12">2*D7</f>
        <v>84</v>
      </c>
      <c r="F7" s="79" t="str">
        <f>IF(C7&lt;0.15,"Fragile Hull",IF(C7&lt;0.25,"Weak Hull",IF(C7&lt;0.35,"Average Hull",IF(C7&lt;0.45,"Strong Hull","Super Hull"))))</f>
        <v>Strong Hull</v>
      </c>
      <c r="G7" s="79">
        <f>ROUNDUP((B6/20),0)</f>
        <v>6</v>
      </c>
      <c r="H7" s="80" t="s">
        <v>81</v>
      </c>
      <c r="I7" s="50" t="s">
        <v>15</v>
      </c>
      <c r="J7" s="89"/>
      <c r="K7" s="51" t="str">
        <f>IF(J7=0,"ok",IF(J6=0,"No PDS","ok"))</f>
        <v>ok</v>
      </c>
      <c r="L7" s="52">
        <f>2*J7</f>
        <v>0</v>
      </c>
      <c r="M7" s="52">
        <f>4*L7</f>
        <v>0</v>
      </c>
      <c r="N7" s="50"/>
    </row>
    <row r="8" spans="1:15" ht="12">
      <c r="A8" s="118" t="s">
        <v>80</v>
      </c>
      <c r="B8" s="83"/>
      <c r="C8" s="42"/>
      <c r="D8" s="45">
        <f>B8</f>
        <v>0</v>
      </c>
      <c r="E8" s="47">
        <f t="shared" si="0"/>
        <v>0</v>
      </c>
      <c r="F8" s="123" t="s">
        <v>29</v>
      </c>
      <c r="I8" s="50" t="s">
        <v>27</v>
      </c>
      <c r="J8" s="89"/>
      <c r="K8" s="117">
        <f>J8*0.05</f>
        <v>0</v>
      </c>
      <c r="L8" s="53">
        <f>IF(J8&gt;0,MAX(3*J8,ROUND(K8*B6,0)),0)</f>
        <v>0</v>
      </c>
      <c r="M8" s="53">
        <f>3*L8</f>
        <v>0</v>
      </c>
      <c r="N8" s="50" t="s">
        <v>74</v>
      </c>
      <c r="O8" s="3"/>
    </row>
    <row r="9" spans="1:15" ht="12">
      <c r="A9" s="118" t="s">
        <v>13</v>
      </c>
      <c r="B9" s="83"/>
      <c r="C9" s="116">
        <f>IF(B9&lt;=2,B9*0.1,"0,1,2 valid")</f>
        <v>0</v>
      </c>
      <c r="D9" s="45">
        <f>IF(ROUND(B9*0.1*B6,0)&gt;0,ROUND(B9*0.1*B6,0),IF(B9&gt;0,1,0))</f>
        <v>0</v>
      </c>
      <c r="E9" s="47">
        <f t="shared" si="0"/>
        <v>0</v>
      </c>
      <c r="F9" s="123" t="s">
        <v>14</v>
      </c>
      <c r="I9" s="50" t="s">
        <v>168</v>
      </c>
      <c r="J9" s="89"/>
      <c r="K9" s="51"/>
      <c r="L9" s="53">
        <f>IF(J9&gt;0,MAX(10,ROUND(0.1*B6,0)),0)</f>
        <v>0</v>
      </c>
      <c r="M9" s="53">
        <f>6*L9</f>
        <v>0</v>
      </c>
      <c r="N9" s="50"/>
      <c r="O9" s="3"/>
    </row>
    <row r="10" spans="1:14" ht="12">
      <c r="A10" s="118" t="s">
        <v>84</v>
      </c>
      <c r="B10" s="83">
        <v>4</v>
      </c>
      <c r="C10" s="116">
        <f>ABS(B10*0.05)</f>
        <v>0.2</v>
      </c>
      <c r="D10" s="45">
        <f>IF(ABS(ROUND(B10*0.05*B6,0))&gt;0,ABS(ROUND(B10*0.05*B6,0)),IF(B10&gt;0,1,0))</f>
        <v>22</v>
      </c>
      <c r="E10" s="47">
        <f>3*D10</f>
        <v>66</v>
      </c>
      <c r="F10" s="123" t="s">
        <v>18</v>
      </c>
      <c r="I10" s="50" t="s">
        <v>76</v>
      </c>
      <c r="J10" s="89"/>
      <c r="K10" s="50"/>
      <c r="L10" s="53">
        <f>IF(J10&gt;0,MAX(2,ROUND(0.1*B6,0)),0)</f>
        <v>0</v>
      </c>
      <c r="M10" s="53">
        <f>L10*10</f>
        <v>0</v>
      </c>
      <c r="N10" s="50"/>
    </row>
    <row r="11" spans="1:14" ht="12">
      <c r="A11" s="118" t="s">
        <v>20</v>
      </c>
      <c r="B11" s="83">
        <v>1</v>
      </c>
      <c r="C11" s="116">
        <f>IF(B11=0,0,IF(B11&lt;=2,0.1,"0,1,2 valid"))</f>
        <v>0.1</v>
      </c>
      <c r="D11" s="45">
        <f>IF(B11=0,0,IF(ROUND(0.1*B6,0)&gt;0,ROUND(0.1*B6,0),1))</f>
        <v>11</v>
      </c>
      <c r="E11" s="47">
        <f t="shared" si="0"/>
        <v>22</v>
      </c>
      <c r="F11" s="123" t="s">
        <v>21</v>
      </c>
      <c r="I11" s="4" t="s">
        <v>16</v>
      </c>
      <c r="J11" s="64"/>
      <c r="K11" s="2"/>
      <c r="L11" s="44"/>
      <c r="M11" s="46"/>
      <c r="N11" s="3"/>
    </row>
    <row r="12" spans="1:14" ht="12">
      <c r="A12" s="55" t="s">
        <v>23</v>
      </c>
      <c r="B12" s="88"/>
      <c r="C12" s="51" t="str">
        <f>IF(B11=2,"ok",IF(B12&lt;&gt;0,"Not Tug","ok"))</f>
        <v>ok</v>
      </c>
      <c r="D12" s="53">
        <f>IF(B11=2,ROUND(0.2*B12,0),0)</f>
        <v>0</v>
      </c>
      <c r="E12" s="53">
        <f t="shared" si="0"/>
        <v>0</v>
      </c>
      <c r="F12" s="50" t="s">
        <v>24</v>
      </c>
      <c r="G12" s="50"/>
      <c r="I12" s="121" t="s">
        <v>19</v>
      </c>
      <c r="J12" s="83">
        <v>3</v>
      </c>
      <c r="K12" s="16" t="str">
        <f>IF(J12&gt;0,"ok",IF(SUM(B15:B21)&gt;0,"No FCon","ok"))</f>
        <v>ok</v>
      </c>
      <c r="L12" s="44">
        <f>J12</f>
        <v>3</v>
      </c>
      <c r="M12" s="46">
        <f>4*L12</f>
        <v>12</v>
      </c>
      <c r="N12" s="3"/>
    </row>
    <row r="13" spans="1:14" ht="12">
      <c r="A13" s="3"/>
      <c r="B13" s="63"/>
      <c r="C13" s="42"/>
      <c r="D13" s="45"/>
      <c r="E13" s="47"/>
      <c r="F13" s="123"/>
      <c r="I13" s="50" t="s">
        <v>22</v>
      </c>
      <c r="J13" s="89"/>
      <c r="K13" s="51" t="str">
        <f>IF(J13=0,"ok",IF(J14=0,"No Mines","ok"))</f>
        <v>ok</v>
      </c>
      <c r="L13" s="52">
        <f>2*J13</f>
        <v>0</v>
      </c>
      <c r="M13" s="52">
        <f>3*L13</f>
        <v>0</v>
      </c>
      <c r="N13" s="50"/>
    </row>
    <row r="14" spans="1:14" ht="12">
      <c r="A14" s="4" t="s">
        <v>31</v>
      </c>
      <c r="B14" s="64" t="s">
        <v>32</v>
      </c>
      <c r="C14" s="8" t="s">
        <v>33</v>
      </c>
      <c r="D14" s="44"/>
      <c r="E14" s="46"/>
      <c r="F14" s="123"/>
      <c r="I14" s="50" t="s">
        <v>25</v>
      </c>
      <c r="J14" s="89"/>
      <c r="K14" s="51" t="str">
        <f>IF(J14=0,"ok",IF(J13=0,"No Layer","ok"))</f>
        <v>ok</v>
      </c>
      <c r="L14" s="52">
        <f>J14</f>
        <v>0</v>
      </c>
      <c r="M14" s="52">
        <f>2*L14</f>
        <v>0</v>
      </c>
      <c r="N14" s="50" t="s">
        <v>26</v>
      </c>
    </row>
    <row r="15" spans="1:14" ht="12">
      <c r="A15" s="122" t="s">
        <v>85</v>
      </c>
      <c r="B15" s="83">
        <v>4</v>
      </c>
      <c r="D15" s="45">
        <f>B15*2</f>
        <v>8</v>
      </c>
      <c r="E15" s="47">
        <f>4*D15</f>
        <v>32</v>
      </c>
      <c r="F15" s="123" t="s">
        <v>92</v>
      </c>
      <c r="I15" s="50" t="s">
        <v>28</v>
      </c>
      <c r="J15" s="89"/>
      <c r="K15" s="54"/>
      <c r="L15" s="52">
        <f>5*J15</f>
        <v>0</v>
      </c>
      <c r="M15" s="52">
        <f>3*L15</f>
        <v>0</v>
      </c>
      <c r="N15" s="123"/>
    </row>
    <row r="16" spans="1:14" ht="12">
      <c r="A16" s="122" t="s">
        <v>86</v>
      </c>
      <c r="B16" s="83"/>
      <c r="C16" s="86"/>
      <c r="D16" s="45">
        <f>B16*3+C16</f>
        <v>0</v>
      </c>
      <c r="E16" s="47">
        <f aca="true" t="shared" si="1" ref="E16:E21">4*D16</f>
        <v>0</v>
      </c>
      <c r="F16" s="123" t="s">
        <v>171</v>
      </c>
      <c r="I16" s="50" t="s">
        <v>30</v>
      </c>
      <c r="J16" s="89"/>
      <c r="K16" s="54"/>
      <c r="L16" s="52">
        <f>3*J16</f>
        <v>0</v>
      </c>
      <c r="M16" s="52">
        <f>3*L16</f>
        <v>0</v>
      </c>
      <c r="N16" s="123"/>
    </row>
    <row r="17" spans="1:14" ht="12">
      <c r="A17" s="122" t="s">
        <v>87</v>
      </c>
      <c r="B17" s="83"/>
      <c r="C17" s="49"/>
      <c r="D17" s="45">
        <f>B17*5</f>
        <v>0</v>
      </c>
      <c r="E17" s="47">
        <f t="shared" si="1"/>
        <v>0</v>
      </c>
      <c r="F17" s="123" t="s">
        <v>97</v>
      </c>
      <c r="I17" s="121" t="s">
        <v>34</v>
      </c>
      <c r="J17" s="83"/>
      <c r="K17" s="2"/>
      <c r="L17" s="44">
        <f>IF(J17=0,0,ROUND(1.5*J17,0))</f>
        <v>0</v>
      </c>
      <c r="M17" s="46">
        <f>3*L17</f>
        <v>0</v>
      </c>
      <c r="N17" s="123" t="s">
        <v>75</v>
      </c>
    </row>
    <row r="18" spans="1:14" ht="12">
      <c r="A18" s="122" t="s">
        <v>89</v>
      </c>
      <c r="B18" s="83">
        <v>2</v>
      </c>
      <c r="C18" s="49"/>
      <c r="D18" s="45">
        <f>B18*8</f>
        <v>16</v>
      </c>
      <c r="E18" s="47">
        <f t="shared" si="1"/>
        <v>64</v>
      </c>
      <c r="F18" s="123" t="s">
        <v>96</v>
      </c>
      <c r="I18" s="121" t="s">
        <v>37</v>
      </c>
      <c r="J18" s="83"/>
      <c r="K18" s="2"/>
      <c r="L18" s="44">
        <f>J18</f>
        <v>0</v>
      </c>
      <c r="M18" s="46"/>
      <c r="N18" s="123" t="s">
        <v>38</v>
      </c>
    </row>
    <row r="19" spans="1:14" ht="12">
      <c r="A19" s="122" t="s">
        <v>88</v>
      </c>
      <c r="B19" s="83"/>
      <c r="C19" s="43"/>
      <c r="D19" s="45">
        <f>B19*11</f>
        <v>0</v>
      </c>
      <c r="E19" s="47">
        <f t="shared" si="1"/>
        <v>0</v>
      </c>
      <c r="F19" s="123" t="s">
        <v>94</v>
      </c>
      <c r="I19" s="121" t="s">
        <v>40</v>
      </c>
      <c r="J19" s="83"/>
      <c r="K19" s="2"/>
      <c r="L19" s="44">
        <f>J19</f>
        <v>0</v>
      </c>
      <c r="M19" s="46"/>
      <c r="N19" s="123" t="s">
        <v>41</v>
      </c>
    </row>
    <row r="20" spans="1:14" ht="12">
      <c r="A20" s="122" t="s">
        <v>90</v>
      </c>
      <c r="B20" s="83"/>
      <c r="C20" s="49"/>
      <c r="D20" s="45">
        <f>B20*14</f>
        <v>0</v>
      </c>
      <c r="E20" s="47">
        <f t="shared" si="1"/>
        <v>0</v>
      </c>
      <c r="F20" s="123" t="s">
        <v>95</v>
      </c>
      <c r="I20" s="121" t="s">
        <v>43</v>
      </c>
      <c r="J20" s="83"/>
      <c r="K20" s="2"/>
      <c r="L20" s="44">
        <f>J20</f>
        <v>0</v>
      </c>
      <c r="M20" s="46"/>
      <c r="N20" s="123" t="s">
        <v>44</v>
      </c>
    </row>
    <row r="21" spans="1:14" ht="12">
      <c r="A21" s="122" t="s">
        <v>91</v>
      </c>
      <c r="B21" s="83"/>
      <c r="C21" s="16"/>
      <c r="D21" s="45">
        <f>B21</f>
        <v>0</v>
      </c>
      <c r="E21" s="47">
        <f t="shared" si="1"/>
        <v>0</v>
      </c>
      <c r="F21" s="123" t="s">
        <v>93</v>
      </c>
      <c r="I21" s="4" t="s">
        <v>46</v>
      </c>
      <c r="J21" s="58"/>
      <c r="K21" s="2"/>
      <c r="L21" s="44"/>
      <c r="M21" s="46"/>
      <c r="N21" s="123"/>
    </row>
    <row r="22" spans="1:14" ht="12">
      <c r="A22" s="122"/>
      <c r="B22" s="23"/>
      <c r="C22" s="16"/>
      <c r="D22" s="7"/>
      <c r="E22" s="7"/>
      <c r="F22" s="123"/>
      <c r="I22" s="60" t="s">
        <v>99</v>
      </c>
      <c r="J22" s="83"/>
      <c r="K22" s="2"/>
      <c r="L22" s="44">
        <f>9*J22</f>
        <v>0</v>
      </c>
      <c r="M22" s="46">
        <f>27*J22</f>
        <v>0</v>
      </c>
      <c r="N22" s="87">
        <f>18*J22</f>
        <v>0</v>
      </c>
    </row>
    <row r="23" spans="1:14" ht="12">
      <c r="A23" s="125"/>
      <c r="B23" s="8"/>
      <c r="D23" s="7"/>
      <c r="E23" s="7"/>
      <c r="F23" s="123"/>
      <c r="I23" s="60" t="s">
        <v>100</v>
      </c>
      <c r="J23" s="83"/>
      <c r="K23" s="2"/>
      <c r="L23" s="44">
        <f>9*J23</f>
        <v>0</v>
      </c>
      <c r="M23" s="46">
        <f>27*J23</f>
        <v>0</v>
      </c>
      <c r="N23" s="87">
        <f>30*J23</f>
        <v>0</v>
      </c>
    </row>
    <row r="24" spans="1:14" ht="12">
      <c r="A24" s="122"/>
      <c r="B24" s="23"/>
      <c r="C24" s="16"/>
      <c r="D24" s="7"/>
      <c r="E24" s="7"/>
      <c r="F24" s="123"/>
      <c r="I24" s="50" t="s">
        <v>66</v>
      </c>
      <c r="J24" s="89"/>
      <c r="K24" s="51" t="str">
        <f>IF(J24&gt;(J22+J23+SUM(J22:J23)),"TooMany","ok")</f>
        <v>ok</v>
      </c>
      <c r="L24" s="52"/>
      <c r="M24" s="52">
        <f>6*J24</f>
        <v>0</v>
      </c>
      <c r="N24" s="52">
        <f>6*J24</f>
        <v>0</v>
      </c>
    </row>
    <row r="25" spans="1:14" ht="12">
      <c r="A25" s="122"/>
      <c r="B25" s="23"/>
      <c r="C25" s="16"/>
      <c r="D25" s="7"/>
      <c r="E25" s="7"/>
      <c r="F25" s="123"/>
      <c r="I25" s="50" t="s">
        <v>68</v>
      </c>
      <c r="J25" s="89"/>
      <c r="K25" s="51" t="str">
        <f>IF(J25&gt;(SUM(J22:J23)),"Too Many","ok")</f>
        <v>ok</v>
      </c>
      <c r="L25" s="52"/>
      <c r="M25" s="52">
        <f>6*J25</f>
        <v>0</v>
      </c>
      <c r="N25" s="52">
        <f>6*J25</f>
        <v>0</v>
      </c>
    </row>
    <row r="26" spans="1:14" ht="12">
      <c r="A26" s="122"/>
      <c r="B26" s="23"/>
      <c r="C26" s="16"/>
      <c r="D26" s="7"/>
      <c r="E26" s="7"/>
      <c r="F26" s="123"/>
      <c r="I26" s="4"/>
      <c r="J26" s="2"/>
      <c r="K26" s="2"/>
      <c r="L26" s="64"/>
      <c r="M26" s="64"/>
      <c r="N26" s="71"/>
    </row>
    <row r="27" spans="1:11" ht="12">
      <c r="A27" s="122"/>
      <c r="B27" s="23"/>
      <c r="D27" s="7"/>
      <c r="E27" s="7"/>
      <c r="F27" s="123"/>
      <c r="J27" s="2"/>
      <c r="K27" s="2"/>
    </row>
    <row r="28" spans="1:6" ht="12">
      <c r="A28" s="122"/>
      <c r="B28" s="23"/>
      <c r="D28" s="7"/>
      <c r="E28" s="7"/>
      <c r="F28" s="123"/>
    </row>
    <row r="29" spans="1:6" ht="12">
      <c r="A29" s="122"/>
      <c r="B29" s="23"/>
      <c r="D29" s="7"/>
      <c r="E29" s="7"/>
      <c r="F29" s="123"/>
    </row>
    <row r="30" spans="1:6" ht="12">
      <c r="A30" s="122"/>
      <c r="B30" s="23"/>
      <c r="D30" s="7"/>
      <c r="E30" s="7"/>
      <c r="F30" s="123"/>
    </row>
    <row r="31" spans="1:6" ht="12">
      <c r="A31" s="122"/>
      <c r="B31" s="23"/>
      <c r="D31" s="7"/>
      <c r="E31" s="7"/>
      <c r="F31" s="123"/>
    </row>
    <row r="32" spans="1:6" ht="12">
      <c r="A32" s="122"/>
      <c r="B32" s="23"/>
      <c r="D32" s="7"/>
      <c r="E32" s="7"/>
      <c r="F32" s="123"/>
    </row>
    <row r="33" spans="1:5" ht="12">
      <c r="A33" s="4"/>
      <c r="B33" s="43"/>
      <c r="D33" s="7"/>
      <c r="E33" s="7"/>
    </row>
    <row r="34" spans="1:7" ht="12">
      <c r="A34" s="3"/>
      <c r="B34" s="23"/>
      <c r="D34" s="7"/>
      <c r="E34" s="7"/>
      <c r="F34" s="18"/>
      <c r="G34" s="18"/>
    </row>
    <row r="35" spans="1:7" ht="12">
      <c r="A35" s="3"/>
      <c r="B35" s="23"/>
      <c r="D35" s="7"/>
      <c r="E35" s="7"/>
      <c r="F35" s="18"/>
      <c r="G35" s="18"/>
    </row>
    <row r="36" spans="1:7" ht="12">
      <c r="A36" s="3"/>
      <c r="B36" s="23"/>
      <c r="D36" s="7"/>
      <c r="E36" s="7"/>
      <c r="F36" s="18"/>
      <c r="G36" s="18"/>
    </row>
    <row r="37" spans="1:7" ht="12">
      <c r="A37" s="3"/>
      <c r="B37" s="23"/>
      <c r="D37" s="7"/>
      <c r="E37" s="7"/>
      <c r="F37" s="18"/>
      <c r="G37" s="18"/>
    </row>
    <row r="38" spans="1:38" ht="12">
      <c r="A38" s="27"/>
      <c r="B38" s="28"/>
      <c r="C38" s="29"/>
      <c r="D38" s="30"/>
      <c r="E38" s="30"/>
      <c r="F38" s="35"/>
      <c r="G38" s="35"/>
      <c r="H38" s="27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</row>
    <row r="39" spans="1:38" ht="12">
      <c r="A39" s="27"/>
      <c r="B39" s="28"/>
      <c r="C39" s="29"/>
      <c r="D39" s="30"/>
      <c r="E39" s="30"/>
      <c r="F39" s="35"/>
      <c r="G39" s="35"/>
      <c r="H39" s="27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</row>
    <row r="40" spans="1:38" ht="12">
      <c r="A40" s="27"/>
      <c r="B40" s="28"/>
      <c r="C40" s="29"/>
      <c r="D40" s="30"/>
      <c r="E40" s="30"/>
      <c r="F40" s="35"/>
      <c r="G40" s="35"/>
      <c r="H40" s="27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</row>
    <row r="41" spans="1:38" ht="12">
      <c r="A41" s="27"/>
      <c r="B41" s="28"/>
      <c r="C41" s="32"/>
      <c r="D41" s="30"/>
      <c r="E41" s="30"/>
      <c r="F41" s="35"/>
      <c r="G41" s="35"/>
      <c r="H41" s="27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</row>
    <row r="42" spans="1:38" ht="12">
      <c r="A42" s="27"/>
      <c r="B42" s="28"/>
      <c r="C42" s="32"/>
      <c r="D42" s="30"/>
      <c r="E42" s="30"/>
      <c r="F42" s="35"/>
      <c r="G42" s="35"/>
      <c r="H42" s="27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1:38" ht="12">
      <c r="A43" s="27"/>
      <c r="B43" s="28"/>
      <c r="C43" s="32"/>
      <c r="D43" s="30"/>
      <c r="E43" s="30"/>
      <c r="F43" s="35"/>
      <c r="G43" s="35"/>
      <c r="H43" s="27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</row>
    <row r="44" spans="1:38" ht="12">
      <c r="A44" s="33"/>
      <c r="B44" s="29"/>
      <c r="C44" s="29"/>
      <c r="D44" s="36"/>
      <c r="E44" s="36"/>
      <c r="F44" s="37"/>
      <c r="G44" s="37"/>
      <c r="H44" s="35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</row>
    <row r="45" spans="1:38" ht="12">
      <c r="A45" s="31"/>
      <c r="B45" s="29"/>
      <c r="C45" s="29"/>
      <c r="D45" s="30"/>
      <c r="E45" s="30"/>
      <c r="F45" s="35"/>
      <c r="G45" s="35"/>
      <c r="H45" s="35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</row>
    <row r="46" spans="1:38" ht="12">
      <c r="A46" s="31"/>
      <c r="B46" s="29"/>
      <c r="C46" s="29"/>
      <c r="D46" s="29"/>
      <c r="E46" s="29"/>
      <c r="F46" s="27"/>
      <c r="G46" s="27"/>
      <c r="H46" s="35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1:38" ht="12">
      <c r="A47" s="31"/>
      <c r="B47" s="38"/>
      <c r="C47" s="29"/>
      <c r="D47" s="29"/>
      <c r="E47" s="29"/>
      <c r="F47" s="27"/>
      <c r="G47" s="27"/>
      <c r="H47" s="35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</row>
    <row r="48" spans="1:38" ht="12">
      <c r="A48" s="31"/>
      <c r="B48" s="38"/>
      <c r="C48" s="29"/>
      <c r="D48" s="29"/>
      <c r="E48" s="29"/>
      <c r="F48" s="27"/>
      <c r="G48" s="27"/>
      <c r="H48" s="35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1:38" ht="12">
      <c r="A49" s="31"/>
      <c r="B49" s="38"/>
      <c r="C49" s="29"/>
      <c r="D49" s="29"/>
      <c r="E49" s="29"/>
      <c r="F49" s="27"/>
      <c r="G49" s="27"/>
      <c r="H49" s="35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  <row r="50" spans="1:38" ht="12">
      <c r="A50" s="31"/>
      <c r="B50" s="38"/>
      <c r="C50" s="29"/>
      <c r="D50" s="29"/>
      <c r="E50" s="29"/>
      <c r="F50" s="27"/>
      <c r="G50" s="27"/>
      <c r="H50" s="35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</row>
    <row r="51" spans="1:38" ht="12">
      <c r="A51" s="31"/>
      <c r="B51" s="38"/>
      <c r="C51" s="29"/>
      <c r="D51" s="29"/>
      <c r="E51" s="29"/>
      <c r="F51" s="27"/>
      <c r="G51" s="27"/>
      <c r="H51" s="35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1:38" ht="12">
      <c r="A52" s="31"/>
      <c r="B52" s="38"/>
      <c r="C52" s="29"/>
      <c r="D52" s="29"/>
      <c r="E52" s="29"/>
      <c r="F52" s="27"/>
      <c r="G52" s="27"/>
      <c r="H52" s="35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</row>
    <row r="53" spans="1:38" ht="12">
      <c r="A53" s="31"/>
      <c r="B53" s="38"/>
      <c r="C53" s="29"/>
      <c r="D53" s="29"/>
      <c r="E53" s="29"/>
      <c r="F53" s="27"/>
      <c r="G53" s="27"/>
      <c r="H53" s="35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1:38" ht="12">
      <c r="A54" s="31"/>
      <c r="B54" s="38"/>
      <c r="C54" s="29"/>
      <c r="D54" s="29"/>
      <c r="E54" s="29"/>
      <c r="F54" s="27"/>
      <c r="G54" s="27"/>
      <c r="H54" s="37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</row>
    <row r="55" spans="1:38" ht="12">
      <c r="A55" s="31"/>
      <c r="B55" s="29"/>
      <c r="C55" s="29"/>
      <c r="D55" s="29"/>
      <c r="E55" s="29"/>
      <c r="F55" s="27"/>
      <c r="G55" s="27"/>
      <c r="H55" s="35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</row>
    <row r="56" spans="1:38" ht="12">
      <c r="A56" s="31"/>
      <c r="B56" s="29"/>
      <c r="C56" s="29"/>
      <c r="D56" s="29"/>
      <c r="E56" s="29"/>
      <c r="F56" s="27"/>
      <c r="G56" s="27"/>
      <c r="H56" s="27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</row>
    <row r="57" spans="1:38" ht="12">
      <c r="A57" s="31"/>
      <c r="B57" s="29"/>
      <c r="C57" s="29"/>
      <c r="D57" s="29"/>
      <c r="E57" s="29"/>
      <c r="F57" s="27"/>
      <c r="G57" s="27"/>
      <c r="H57" s="27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</row>
    <row r="58" spans="1:38" ht="12">
      <c r="A58" s="31"/>
      <c r="B58" s="29"/>
      <c r="C58" s="29"/>
      <c r="D58" s="29"/>
      <c r="E58" s="29"/>
      <c r="F58" s="27"/>
      <c r="G58" s="27"/>
      <c r="H58" s="27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</row>
    <row r="59" spans="1:38" ht="12">
      <c r="A59" s="31"/>
      <c r="B59" s="29"/>
      <c r="C59" s="29"/>
      <c r="D59" s="29"/>
      <c r="E59" s="29"/>
      <c r="F59" s="27"/>
      <c r="G59" s="27"/>
      <c r="H59" s="27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</row>
    <row r="60" spans="8:38" ht="12">
      <c r="H60" s="27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</row>
    <row r="61" spans="8:38" ht="12">
      <c r="H61" s="27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</row>
    <row r="62" spans="8:38" ht="12">
      <c r="H62" s="27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</row>
    <row r="63" spans="8:38" ht="12">
      <c r="H63" s="27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</row>
    <row r="64" spans="8:38" ht="12">
      <c r="H64" s="27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</row>
    <row r="65" spans="8:38" ht="12">
      <c r="H65" s="27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</row>
    <row r="66" spans="8:38" ht="12">
      <c r="H66" s="27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</row>
    <row r="67" spans="8:38" ht="12">
      <c r="H67" s="27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</row>
    <row r="68" spans="8:38" ht="12">
      <c r="H68" s="27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  <row r="69" spans="8:38" ht="12">
      <c r="H69" s="27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</row>
    <row r="70" spans="15:38" ht="12"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</row>
    <row r="71" spans="15:16" ht="12">
      <c r="O71" s="31"/>
      <c r="P71" s="31"/>
    </row>
    <row r="72" spans="15:16" ht="12">
      <c r="O72" s="31"/>
      <c r="P72" s="31"/>
    </row>
  </sheetData>
  <mergeCells count="6">
    <mergeCell ref="O2:P2"/>
    <mergeCell ref="O3:P3"/>
    <mergeCell ref="C2:F2"/>
    <mergeCell ref="C3:F3"/>
    <mergeCell ref="I2:K2"/>
    <mergeCell ref="I3:K3"/>
  </mergeCells>
  <printOptions/>
  <pageMargins left="0.5" right="0.5" top="0.5" bottom="0.5" header="0.5" footer="0.5"/>
  <pageSetup fitToHeight="1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0"/>
  <sheetViews>
    <sheetView zoomScale="75" zoomScaleNormal="75" workbookViewId="0" topLeftCell="A1">
      <selection activeCell="D20" sqref="D20"/>
    </sheetView>
  </sheetViews>
  <sheetFormatPr defaultColWidth="9.140625" defaultRowHeight="12.75"/>
  <cols>
    <col min="1" max="1" width="18.00390625" style="1" customWidth="1"/>
    <col min="2" max="2" width="7.28125" style="2" customWidth="1"/>
    <col min="3" max="3" width="5.140625" style="2" customWidth="1"/>
    <col min="4" max="4" width="6.140625" style="2" customWidth="1"/>
    <col min="5" max="5" width="5.7109375" style="2" customWidth="1"/>
    <col min="6" max="6" width="11.28125" style="2" customWidth="1"/>
    <col min="7" max="7" width="11.421875" style="3" customWidth="1"/>
    <col min="8" max="8" width="23.140625" style="3" customWidth="1"/>
    <col min="9" max="9" width="5.140625" style="1" customWidth="1"/>
    <col min="10" max="10" width="4.140625" style="1" customWidth="1"/>
    <col min="11" max="11" width="5.140625" style="1" customWidth="1"/>
    <col min="12" max="12" width="3.28125" style="1" customWidth="1"/>
    <col min="13" max="13" width="6.7109375" style="1" customWidth="1"/>
    <col min="14" max="14" width="10.7109375" style="1" customWidth="1"/>
    <col min="15" max="15" width="9.140625" style="1" customWidth="1"/>
    <col min="16" max="16" width="6.7109375" style="1" customWidth="1"/>
    <col min="17" max="16384" width="9.140625" style="1" customWidth="1"/>
  </cols>
  <sheetData>
    <row r="1" spans="1:8" s="108" customFormat="1" ht="18">
      <c r="A1" s="105" t="s">
        <v>123</v>
      </c>
      <c r="B1" s="106"/>
      <c r="D1" s="106"/>
      <c r="E1" s="133" t="s">
        <v>190</v>
      </c>
      <c r="F1" s="106"/>
      <c r="G1" s="107"/>
      <c r="H1" s="107"/>
    </row>
    <row r="2" spans="1:15" s="99" customFormat="1" ht="18">
      <c r="A2" s="94"/>
      <c r="B2" s="95" t="s">
        <v>1</v>
      </c>
      <c r="C2" s="139" t="s">
        <v>182</v>
      </c>
      <c r="D2" s="139"/>
      <c r="E2" s="139"/>
      <c r="F2" s="139"/>
      <c r="G2" s="139"/>
      <c r="H2" s="95" t="s">
        <v>172</v>
      </c>
      <c r="I2" s="139" t="s">
        <v>184</v>
      </c>
      <c r="J2" s="139"/>
      <c r="K2" s="139"/>
      <c r="L2" s="139"/>
      <c r="M2" s="139"/>
      <c r="N2" s="70" t="s">
        <v>71</v>
      </c>
      <c r="O2" s="98">
        <f>D26</f>
        <v>80</v>
      </c>
    </row>
    <row r="3" spans="1:15" s="99" customFormat="1" ht="18">
      <c r="A3" s="94"/>
      <c r="B3" s="95" t="s">
        <v>3</v>
      </c>
      <c r="C3" s="139" t="s">
        <v>183</v>
      </c>
      <c r="D3" s="139"/>
      <c r="E3" s="139"/>
      <c r="F3" s="139"/>
      <c r="G3" s="139"/>
      <c r="H3" s="95" t="s">
        <v>4</v>
      </c>
      <c r="I3" s="139" t="s">
        <v>73</v>
      </c>
      <c r="J3" s="139"/>
      <c r="K3" s="139"/>
      <c r="L3" s="139"/>
      <c r="M3" s="139"/>
      <c r="N3" s="70" t="s">
        <v>72</v>
      </c>
      <c r="O3" s="100">
        <f>E26</f>
        <v>257</v>
      </c>
    </row>
    <row r="4" spans="1:16" ht="12">
      <c r="A4" s="24"/>
      <c r="B4" s="25"/>
      <c r="C4" s="25"/>
      <c r="D4" s="25"/>
      <c r="E4" s="25"/>
      <c r="F4" s="25"/>
      <c r="G4" s="26"/>
      <c r="H4" s="26"/>
      <c r="I4" s="24"/>
      <c r="J4" s="24"/>
      <c r="K4" s="24"/>
      <c r="L4" s="24"/>
      <c r="M4" s="24"/>
      <c r="N4" s="24"/>
      <c r="O4" s="24"/>
      <c r="P4" s="24"/>
    </row>
    <row r="5" spans="1:8" ht="12">
      <c r="A5" s="4" t="s">
        <v>5</v>
      </c>
      <c r="B5" s="64" t="s">
        <v>6</v>
      </c>
      <c r="C5" s="43"/>
      <c r="D5" s="64" t="s">
        <v>7</v>
      </c>
      <c r="E5" s="64" t="s">
        <v>8</v>
      </c>
      <c r="F5" s="64" t="s">
        <v>143</v>
      </c>
      <c r="G5" s="71" t="s">
        <v>9</v>
      </c>
      <c r="H5" s="6"/>
    </row>
    <row r="6" spans="1:7" ht="12">
      <c r="A6" s="118" t="s">
        <v>11</v>
      </c>
      <c r="B6" s="83">
        <v>80</v>
      </c>
      <c r="C6" s="39">
        <f>IF(D26&gt;B6,"Over Mass",IF(D26&lt;B6,"Under Mass",""))</f>
      </c>
      <c r="D6" s="44"/>
      <c r="E6" s="46">
        <f>B6</f>
        <v>80</v>
      </c>
      <c r="F6" s="46"/>
      <c r="G6" s="69">
        <f>IF((ROUND(C7*100,0)&lt;10),"Hull Must Be 10%+","")</f>
      </c>
    </row>
    <row r="7" spans="1:8" ht="12">
      <c r="A7" s="118" t="s">
        <v>124</v>
      </c>
      <c r="B7" s="83">
        <v>26</v>
      </c>
      <c r="C7" s="48">
        <f>(B7/B6)</f>
        <v>0.325</v>
      </c>
      <c r="D7" s="44">
        <f>B7</f>
        <v>26</v>
      </c>
      <c r="E7" s="46">
        <f>2*D7</f>
        <v>52</v>
      </c>
      <c r="F7" s="46"/>
      <c r="G7" s="79" t="str">
        <f>IF(C7&lt;0.15,"Fragile Hull",IF(C7&lt;0.25,"Weak Hull",IF(C7&lt;0.35,"Average Hull",IF(C7&lt;0.45,"Strong Hull","Super Hull"))))</f>
        <v>Average Hull</v>
      </c>
      <c r="H7" s="80"/>
    </row>
    <row r="8" spans="1:15" ht="12">
      <c r="A8" s="118" t="s">
        <v>125</v>
      </c>
      <c r="B8" s="83">
        <v>5</v>
      </c>
      <c r="C8" s="42"/>
      <c r="D8" s="45">
        <f>B8</f>
        <v>5</v>
      </c>
      <c r="E8" s="47">
        <f>2*D8</f>
        <v>10</v>
      </c>
      <c r="F8" s="47"/>
      <c r="G8" s="3" t="s">
        <v>29</v>
      </c>
      <c r="I8" s="140" t="s">
        <v>135</v>
      </c>
      <c r="J8" s="140"/>
      <c r="K8" s="140"/>
      <c r="N8" s="59" t="s">
        <v>136</v>
      </c>
      <c r="O8" s="58" t="s">
        <v>138</v>
      </c>
    </row>
    <row r="9" spans="1:15" ht="12">
      <c r="A9" s="118" t="s">
        <v>126</v>
      </c>
      <c r="B9" s="83">
        <v>18</v>
      </c>
      <c r="C9" s="40"/>
      <c r="D9" s="45">
        <f>B9</f>
        <v>18</v>
      </c>
      <c r="E9" s="47">
        <f>2*D9</f>
        <v>36</v>
      </c>
      <c r="F9" s="47"/>
      <c r="I9" s="64" t="s">
        <v>174</v>
      </c>
      <c r="J9" s="64" t="s">
        <v>173</v>
      </c>
      <c r="K9" s="64" t="s">
        <v>175</v>
      </c>
      <c r="N9" s="68" t="s">
        <v>137</v>
      </c>
      <c r="O9" s="64" t="s">
        <v>139</v>
      </c>
    </row>
    <row r="10" spans="1:15" ht="12">
      <c r="A10" s="118" t="s">
        <v>127</v>
      </c>
      <c r="B10" s="63"/>
      <c r="C10" s="40"/>
      <c r="D10" s="45">
        <f>IF(ROUND(0.1*B6,0)&gt;0,ROUND(0.1*B6,0),1)</f>
        <v>8</v>
      </c>
      <c r="E10" s="47">
        <f>2*D10</f>
        <v>16</v>
      </c>
      <c r="F10" s="60" t="s">
        <v>141</v>
      </c>
      <c r="I10" s="72">
        <v>1</v>
      </c>
      <c r="J10" s="62">
        <f>IF(ROUND((I10*$B$6*0.02),0)&gt;$B$9,"-",MAX(1,ROUND((I10*$B$6*0.02),0)))</f>
        <v>2</v>
      </c>
      <c r="K10" s="73">
        <f>IF(ROUND((I10*$B$6*0.04),0)&gt;$B$9,"-",MAX(1,ROUND((I10*$B$6*0.04),0)))</f>
        <v>3</v>
      </c>
      <c r="N10" s="74">
        <f>((ROUNDDOWN(($B$7/4),0)+(IF(MOD($B$7,4)&gt;0,1,0))))</f>
        <v>7</v>
      </c>
      <c r="O10" s="61">
        <f>((ROUNDDOWN(($B$9/(IF(B7&gt;3,4,B7))),0)))</f>
        <v>4</v>
      </c>
    </row>
    <row r="11" spans="1:15" ht="12">
      <c r="A11" s="118" t="s">
        <v>20</v>
      </c>
      <c r="B11" s="83">
        <v>1</v>
      </c>
      <c r="C11" s="116">
        <f>IF(B11=0,0,IF(B11&lt;=2,0.1,"0,1,2 valid"))</f>
        <v>0.1</v>
      </c>
      <c r="D11" s="45">
        <f>IF(B11=0,0,IF(ROUND(0.1*B6,0)&gt;0,ROUND(0.1*B6,0),1))</f>
        <v>8</v>
      </c>
      <c r="E11" s="47">
        <f>2*D11</f>
        <v>16</v>
      </c>
      <c r="F11" s="61">
        <f>D11</f>
        <v>8</v>
      </c>
      <c r="G11" s="3" t="s">
        <v>142</v>
      </c>
      <c r="I11" s="72">
        <v>2</v>
      </c>
      <c r="J11" s="62">
        <f aca="true" t="shared" si="0" ref="J11:J29">IF(ROUND((I11*$B$6*0.02),0)&gt;$B$9,"-",MAX(1,ROUND((I11*$B$6*0.02),0)))</f>
        <v>3</v>
      </c>
      <c r="K11" s="73">
        <f aca="true" t="shared" si="1" ref="K11:K29">IF(ROUND((I11*$B$6*0.04),0)&gt;$B$9,"-",MAX(1,ROUND((I11*$B$6*0.04),0)))</f>
        <v>6</v>
      </c>
      <c r="N11" s="74">
        <f>((ROUNDDOWN(($B$7/4),0)+(IF(MOD($B$7,4)&gt;1,1,0))))</f>
        <v>7</v>
      </c>
      <c r="O11" s="61">
        <f>(IF(N12=0,B9-O10,(ROUNDDOWN(($B$9/(IF(B7&gt;3,4,B7))),0)+(IF(MOD($B$9,IF(B7&gt;3,4,B7))&gt;2,1,0)))))</f>
        <v>4</v>
      </c>
    </row>
    <row r="12" spans="1:15" ht="12">
      <c r="A12" s="118"/>
      <c r="B12" s="63"/>
      <c r="C12" s="42"/>
      <c r="D12" s="45"/>
      <c r="E12" s="47"/>
      <c r="F12" s="47"/>
      <c r="I12" s="72">
        <v>3</v>
      </c>
      <c r="J12" s="62">
        <f t="shared" si="0"/>
        <v>5</v>
      </c>
      <c r="K12" s="73">
        <f t="shared" si="1"/>
        <v>10</v>
      </c>
      <c r="N12" s="74">
        <f>((ROUNDDOWN(($B$7/4),0)+(IF(MOD($B$7,4)&gt;2,1,0))))</f>
        <v>6</v>
      </c>
      <c r="O12" s="61">
        <f>IF(N13=0,B9-O11-O10,IF(N12=0,0,((ROUNDDOWN(($B$9/IF(B7&gt;3,4,B7)),0)+(IF(MOD($B$9,IF(B7&gt;3,4,B7))&gt;1,1,0))))))</f>
        <v>5</v>
      </c>
    </row>
    <row r="13" spans="1:15" ht="12">
      <c r="A13" s="4" t="s">
        <v>31</v>
      </c>
      <c r="B13" s="64" t="s">
        <v>32</v>
      </c>
      <c r="C13" s="5"/>
      <c r="D13" s="44"/>
      <c r="E13" s="46"/>
      <c r="F13" s="46"/>
      <c r="I13" s="72">
        <v>4</v>
      </c>
      <c r="J13" s="62">
        <f t="shared" si="0"/>
        <v>6</v>
      </c>
      <c r="K13" s="73">
        <f t="shared" si="1"/>
        <v>13</v>
      </c>
      <c r="N13" s="74">
        <f>((ROUNDDOWN(($B$7/4),0)))</f>
        <v>6</v>
      </c>
      <c r="O13" s="61">
        <f>IF(N13=0,0,((ROUNDDOWN(($B$9/IF(B7&gt;3,4,B7)),0)+(IF(MOD($B$9,IF(B7&gt;3,4,B7))&gt;0,1,0)))))</f>
        <v>5</v>
      </c>
    </row>
    <row r="14" spans="1:13" ht="12">
      <c r="A14" s="122" t="s">
        <v>128</v>
      </c>
      <c r="B14" s="83">
        <v>2</v>
      </c>
      <c r="D14" s="45">
        <f>B14*2</f>
        <v>4</v>
      </c>
      <c r="E14" s="47">
        <f>3*D14</f>
        <v>12</v>
      </c>
      <c r="F14" s="61" t="s">
        <v>144</v>
      </c>
      <c r="G14" s="3" t="s">
        <v>130</v>
      </c>
      <c r="I14" s="72">
        <v>5</v>
      </c>
      <c r="J14" s="62">
        <f t="shared" si="0"/>
        <v>8</v>
      </c>
      <c r="K14" s="73">
        <f t="shared" si="1"/>
        <v>16</v>
      </c>
      <c r="M14" s="46"/>
    </row>
    <row r="15" spans="1:11" ht="12">
      <c r="A15" s="122" t="s">
        <v>129</v>
      </c>
      <c r="B15" s="83">
        <v>2</v>
      </c>
      <c r="C15" s="49"/>
      <c r="D15" s="45">
        <f>B15*3</f>
        <v>6</v>
      </c>
      <c r="E15" s="47">
        <f>3*D15</f>
        <v>18</v>
      </c>
      <c r="F15" s="61" t="s">
        <v>159</v>
      </c>
      <c r="G15" s="3" t="s">
        <v>98</v>
      </c>
      <c r="I15" s="72">
        <v>6</v>
      </c>
      <c r="J15" s="62">
        <f t="shared" si="0"/>
        <v>10</v>
      </c>
      <c r="K15" s="73" t="str">
        <f t="shared" si="1"/>
        <v>-</v>
      </c>
    </row>
    <row r="16" spans="1:11" ht="12">
      <c r="A16" s="122"/>
      <c r="B16" s="63"/>
      <c r="C16" s="49"/>
      <c r="D16" s="45"/>
      <c r="E16" s="47"/>
      <c r="F16" s="47"/>
      <c r="I16" s="72">
        <v>7</v>
      </c>
      <c r="J16" s="62">
        <f t="shared" si="0"/>
        <v>11</v>
      </c>
      <c r="K16" s="73" t="str">
        <f t="shared" si="1"/>
        <v>-</v>
      </c>
    </row>
    <row r="17" spans="1:11" ht="12">
      <c r="A17" s="4" t="s">
        <v>10</v>
      </c>
      <c r="B17" s="64"/>
      <c r="D17" s="64"/>
      <c r="E17" s="64"/>
      <c r="F17" s="64"/>
      <c r="G17" s="71"/>
      <c r="I17" s="72">
        <v>8</v>
      </c>
      <c r="J17" s="62">
        <f t="shared" si="0"/>
        <v>13</v>
      </c>
      <c r="K17" s="73" t="str">
        <f t="shared" si="1"/>
        <v>-</v>
      </c>
    </row>
    <row r="18" spans="1:11" ht="12">
      <c r="A18" s="124" t="s">
        <v>133</v>
      </c>
      <c r="B18" s="83">
        <v>3</v>
      </c>
      <c r="D18" s="44">
        <f>B18</f>
        <v>3</v>
      </c>
      <c r="E18" s="46">
        <f>3*D18</f>
        <v>9</v>
      </c>
      <c r="F18" s="62" t="s">
        <v>146</v>
      </c>
      <c r="G18" s="3" t="s">
        <v>140</v>
      </c>
      <c r="I18" s="72">
        <v>9</v>
      </c>
      <c r="J18" s="62">
        <f t="shared" si="0"/>
        <v>14</v>
      </c>
      <c r="K18" s="73" t="str">
        <f t="shared" si="1"/>
        <v>-</v>
      </c>
    </row>
    <row r="19" spans="1:15" ht="12">
      <c r="A19" s="124" t="s">
        <v>132</v>
      </c>
      <c r="B19" s="83"/>
      <c r="C19" s="116"/>
      <c r="D19" s="45">
        <f>IF(B19&gt;0,B19*(MAX(3*B19,ROUND(0.05*B6,0))),0)</f>
        <v>0</v>
      </c>
      <c r="E19" s="47">
        <f>3*D19</f>
        <v>0</v>
      </c>
      <c r="F19" s="62">
        <f>IF(B19=0,"",IF(B19&gt;1,ROUND(D19/B19,0),D19))</f>
      </c>
      <c r="G19" s="60">
        <f>IF(B19&gt;1,"each","")</f>
      </c>
      <c r="I19" s="72">
        <v>10</v>
      </c>
      <c r="J19" s="62">
        <f t="shared" si="0"/>
        <v>16</v>
      </c>
      <c r="K19" s="73" t="str">
        <f t="shared" si="1"/>
        <v>-</v>
      </c>
      <c r="N19" s="140" t="s">
        <v>157</v>
      </c>
      <c r="O19" s="141"/>
    </row>
    <row r="20" spans="1:15" ht="12">
      <c r="A20" s="124"/>
      <c r="B20" s="63"/>
      <c r="C20" s="42"/>
      <c r="D20" s="45"/>
      <c r="E20" s="47"/>
      <c r="I20" s="72">
        <v>11</v>
      </c>
      <c r="J20" s="62">
        <f t="shared" si="0"/>
        <v>18</v>
      </c>
      <c r="K20" s="73" t="str">
        <f t="shared" si="1"/>
        <v>-</v>
      </c>
      <c r="N20" s="140" t="s">
        <v>158</v>
      </c>
      <c r="O20" s="141"/>
    </row>
    <row r="21" spans="1:15" ht="12">
      <c r="A21" s="4" t="s">
        <v>16</v>
      </c>
      <c r="B21" s="64"/>
      <c r="D21" s="44"/>
      <c r="E21" s="46"/>
      <c r="I21" s="72">
        <v>12</v>
      </c>
      <c r="J21" s="62" t="str">
        <f t="shared" si="0"/>
        <v>-</v>
      </c>
      <c r="K21" s="73" t="str">
        <f t="shared" si="1"/>
        <v>-</v>
      </c>
      <c r="N21" s="64" t="s">
        <v>148</v>
      </c>
      <c r="O21" s="67" t="s">
        <v>147</v>
      </c>
    </row>
    <row r="22" spans="1:15" ht="12">
      <c r="A22" s="121" t="s">
        <v>134</v>
      </c>
      <c r="B22" s="83">
        <v>2</v>
      </c>
      <c r="C22" s="16" t="str">
        <f>IF(B22&gt;0,"ok",IF(SUM(B14:B15)&gt;0,"No FCon","ok"))</f>
        <v>ok</v>
      </c>
      <c r="D22" s="44">
        <f>B22</f>
        <v>2</v>
      </c>
      <c r="E22" s="46">
        <f>4*D22</f>
        <v>8</v>
      </c>
      <c r="I22" s="72">
        <v>13</v>
      </c>
      <c r="J22" s="62" t="str">
        <f t="shared" si="0"/>
        <v>-</v>
      </c>
      <c r="K22" s="73" t="str">
        <f t="shared" si="1"/>
        <v>-</v>
      </c>
      <c r="N22" s="62">
        <v>1</v>
      </c>
      <c r="O22" s="63" t="s">
        <v>149</v>
      </c>
    </row>
    <row r="23" spans="1:15" ht="12">
      <c r="A23" s="121" t="s">
        <v>131</v>
      </c>
      <c r="B23" s="83"/>
      <c r="C23" s="49"/>
      <c r="D23" s="45">
        <f>B23*3</f>
        <v>0</v>
      </c>
      <c r="E23" s="47">
        <f>3*D23</f>
        <v>0</v>
      </c>
      <c r="F23" s="61" t="s">
        <v>145</v>
      </c>
      <c r="G23" s="3" t="s">
        <v>108</v>
      </c>
      <c r="I23" s="72">
        <v>14</v>
      </c>
      <c r="J23" s="62" t="str">
        <f t="shared" si="0"/>
        <v>-</v>
      </c>
      <c r="K23" s="73" t="str">
        <f t="shared" si="1"/>
        <v>-</v>
      </c>
      <c r="N23" s="62">
        <v>2</v>
      </c>
      <c r="O23" s="65" t="s">
        <v>150</v>
      </c>
    </row>
    <row r="24" spans="1:15" ht="12">
      <c r="A24" s="121"/>
      <c r="B24" s="23"/>
      <c r="C24" s="16"/>
      <c r="D24" s="44"/>
      <c r="E24" s="46"/>
      <c r="I24" s="72">
        <v>15</v>
      </c>
      <c r="J24" s="62" t="str">
        <f t="shared" si="0"/>
        <v>-</v>
      </c>
      <c r="K24" s="73" t="str">
        <f t="shared" si="1"/>
        <v>-</v>
      </c>
      <c r="N24" s="62">
        <v>4</v>
      </c>
      <c r="O24" s="66" t="s">
        <v>151</v>
      </c>
    </row>
    <row r="25" spans="1:15" ht="12">
      <c r="A25" s="4" t="s">
        <v>70</v>
      </c>
      <c r="D25" s="64" t="s">
        <v>7</v>
      </c>
      <c r="E25" s="64" t="s">
        <v>8</v>
      </c>
      <c r="I25" s="72">
        <v>16</v>
      </c>
      <c r="J25" s="62" t="str">
        <f t="shared" si="0"/>
        <v>-</v>
      </c>
      <c r="K25" s="73" t="str">
        <f t="shared" si="1"/>
        <v>-</v>
      </c>
      <c r="N25" s="62">
        <v>8</v>
      </c>
      <c r="O25" s="66" t="s">
        <v>152</v>
      </c>
    </row>
    <row r="26" spans="4:15" ht="12">
      <c r="D26" s="44">
        <f>SUM(D7:D23)</f>
        <v>80</v>
      </c>
      <c r="E26" s="46">
        <f>SUM(E6:E23)</f>
        <v>257</v>
      </c>
      <c r="I26" s="72">
        <v>17</v>
      </c>
      <c r="J26" s="62" t="str">
        <f t="shared" si="0"/>
        <v>-</v>
      </c>
      <c r="K26" s="73" t="str">
        <f t="shared" si="1"/>
        <v>-</v>
      </c>
      <c r="N26" s="62">
        <v>16</v>
      </c>
      <c r="O26" s="66" t="s">
        <v>153</v>
      </c>
    </row>
    <row r="27" spans="1:15" ht="12">
      <c r="A27" s="60"/>
      <c r="D27" s="45"/>
      <c r="E27" s="47"/>
      <c r="I27" s="72">
        <v>18</v>
      </c>
      <c r="J27" s="62" t="str">
        <f t="shared" si="0"/>
        <v>-</v>
      </c>
      <c r="K27" s="73" t="str">
        <f t="shared" si="1"/>
        <v>-</v>
      </c>
      <c r="N27" s="62">
        <v>32</v>
      </c>
      <c r="O27" s="66" t="s">
        <v>154</v>
      </c>
    </row>
    <row r="28" spans="1:11" ht="12">
      <c r="A28" s="58"/>
      <c r="B28" s="63"/>
      <c r="D28" s="45"/>
      <c r="E28" s="47"/>
      <c r="I28" s="72">
        <v>19</v>
      </c>
      <c r="J28" s="62" t="str">
        <f t="shared" si="0"/>
        <v>-</v>
      </c>
      <c r="K28" s="73" t="str">
        <f t="shared" si="1"/>
        <v>-</v>
      </c>
    </row>
    <row r="29" spans="1:11" ht="12">
      <c r="A29" s="58"/>
      <c r="B29" s="64"/>
      <c r="D29" s="45"/>
      <c r="E29" s="47"/>
      <c r="I29" s="72">
        <v>20</v>
      </c>
      <c r="J29" s="62" t="str">
        <f t="shared" si="0"/>
        <v>-</v>
      </c>
      <c r="K29" s="73" t="str">
        <f t="shared" si="1"/>
        <v>-</v>
      </c>
    </row>
    <row r="30" spans="1:10" ht="12">
      <c r="A30" s="58"/>
      <c r="B30" s="63"/>
      <c r="D30" s="45"/>
      <c r="E30" s="47"/>
      <c r="I30" s="72"/>
      <c r="J30" s="62"/>
    </row>
    <row r="31" spans="1:10" ht="12">
      <c r="A31" s="58"/>
      <c r="B31" s="63"/>
      <c r="C31" s="16"/>
      <c r="D31" s="7"/>
      <c r="E31" s="7"/>
      <c r="I31" s="72"/>
      <c r="J31" s="62"/>
    </row>
    <row r="32" spans="1:5" ht="12">
      <c r="A32" s="4"/>
      <c r="B32" s="8"/>
      <c r="D32" s="7"/>
      <c r="E32" s="7"/>
    </row>
    <row r="33" spans="1:12" ht="12">
      <c r="A33" s="3"/>
      <c r="B33" s="23"/>
      <c r="C33" s="16"/>
      <c r="D33" s="7"/>
      <c r="E33" s="7"/>
      <c r="J33" s="58"/>
      <c r="K33" s="58"/>
      <c r="L33" s="57"/>
    </row>
    <row r="34" spans="1:12" ht="12">
      <c r="A34" s="3"/>
      <c r="B34" s="23"/>
      <c r="C34" s="16"/>
      <c r="D34" s="7"/>
      <c r="E34" s="7"/>
      <c r="J34" s="57"/>
      <c r="K34" s="57"/>
      <c r="L34" s="57"/>
    </row>
    <row r="35" spans="1:5" ht="12">
      <c r="A35" s="3"/>
      <c r="B35" s="23"/>
      <c r="C35" s="16"/>
      <c r="D35" s="7"/>
      <c r="E35" s="7"/>
    </row>
    <row r="36" spans="1:5" ht="12">
      <c r="A36" s="3"/>
      <c r="B36" s="23"/>
      <c r="D36" s="7"/>
      <c r="E36" s="7"/>
    </row>
    <row r="37" spans="1:5" ht="12">
      <c r="A37" s="3"/>
      <c r="B37" s="23"/>
      <c r="D37" s="7"/>
      <c r="E37" s="7"/>
    </row>
    <row r="38" spans="1:38" ht="12">
      <c r="A38" s="27"/>
      <c r="B38" s="28"/>
      <c r="C38" s="29"/>
      <c r="D38" s="30"/>
      <c r="E38" s="30"/>
      <c r="F38" s="30"/>
      <c r="G38" s="27"/>
      <c r="H38" s="27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</row>
    <row r="39" spans="1:38" ht="12">
      <c r="A39" s="27"/>
      <c r="B39" s="28"/>
      <c r="C39" s="29"/>
      <c r="D39" s="30"/>
      <c r="E39" s="30"/>
      <c r="F39" s="30"/>
      <c r="G39" s="27"/>
      <c r="H39" s="27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</row>
    <row r="40" spans="1:38" ht="12">
      <c r="A40" s="27"/>
      <c r="B40" s="28"/>
      <c r="C40" s="29"/>
      <c r="D40" s="30"/>
      <c r="E40" s="30"/>
      <c r="F40" s="30"/>
      <c r="G40" s="27"/>
      <c r="H40" s="27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</row>
    <row r="41" spans="1:38" ht="12">
      <c r="A41" s="27"/>
      <c r="B41" s="28"/>
      <c r="C41" s="29"/>
      <c r="D41" s="30"/>
      <c r="E41" s="30"/>
      <c r="F41" s="30"/>
      <c r="G41" s="27"/>
      <c r="H41" s="27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</row>
    <row r="42" spans="1:38" ht="12">
      <c r="A42" s="33"/>
      <c r="B42" s="34"/>
      <c r="C42" s="29"/>
      <c r="D42" s="30"/>
      <c r="E42" s="30"/>
      <c r="F42" s="30"/>
      <c r="G42" s="27"/>
      <c r="H42" s="27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1:38" ht="12">
      <c r="A43" s="27"/>
      <c r="B43" s="28"/>
      <c r="C43" s="29"/>
      <c r="D43" s="30"/>
      <c r="E43" s="30"/>
      <c r="F43" s="30"/>
      <c r="G43" s="35"/>
      <c r="H43" s="35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</row>
    <row r="44" spans="1:38" ht="12">
      <c r="A44" s="27"/>
      <c r="B44" s="28"/>
      <c r="C44" s="29"/>
      <c r="D44" s="30"/>
      <c r="E44" s="30"/>
      <c r="F44" s="30"/>
      <c r="G44" s="35"/>
      <c r="H44" s="35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</row>
    <row r="45" spans="1:38" ht="12">
      <c r="A45" s="27"/>
      <c r="B45" s="28"/>
      <c r="C45" s="29"/>
      <c r="D45" s="30"/>
      <c r="E45" s="30"/>
      <c r="F45" s="30"/>
      <c r="G45" s="35"/>
      <c r="H45" s="35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</row>
    <row r="46" spans="1:38" ht="12">
      <c r="A46" s="27"/>
      <c r="B46" s="28"/>
      <c r="C46" s="29"/>
      <c r="D46" s="30"/>
      <c r="E46" s="30"/>
      <c r="F46" s="30"/>
      <c r="G46" s="35"/>
      <c r="H46" s="35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1:38" ht="12">
      <c r="A47" s="27"/>
      <c r="B47" s="28"/>
      <c r="C47" s="29"/>
      <c r="D47" s="30"/>
      <c r="E47" s="30"/>
      <c r="F47" s="30"/>
      <c r="G47" s="35"/>
      <c r="H47" s="35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</row>
    <row r="48" spans="1:38" ht="12">
      <c r="A48" s="27"/>
      <c r="B48" s="28"/>
      <c r="C48" s="29"/>
      <c r="D48" s="30"/>
      <c r="E48" s="30"/>
      <c r="F48" s="30"/>
      <c r="G48" s="35"/>
      <c r="H48" s="35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1:38" ht="12">
      <c r="A49" s="27"/>
      <c r="B49" s="28"/>
      <c r="C49" s="29"/>
      <c r="D49" s="30"/>
      <c r="E49" s="30"/>
      <c r="F49" s="30"/>
      <c r="G49" s="35"/>
      <c r="H49" s="35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  <row r="50" spans="1:38" ht="12">
      <c r="A50" s="27"/>
      <c r="B50" s="28"/>
      <c r="C50" s="32"/>
      <c r="D50" s="30"/>
      <c r="E50" s="30"/>
      <c r="F50" s="30"/>
      <c r="G50" s="35"/>
      <c r="H50" s="35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</row>
    <row r="51" spans="1:38" ht="12">
      <c r="A51" s="27"/>
      <c r="B51" s="28"/>
      <c r="C51" s="32"/>
      <c r="D51" s="30"/>
      <c r="E51" s="30"/>
      <c r="F51" s="30"/>
      <c r="G51" s="35"/>
      <c r="H51" s="35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1:38" ht="12">
      <c r="A52" s="27"/>
      <c r="B52" s="28"/>
      <c r="C52" s="32"/>
      <c r="D52" s="30"/>
      <c r="E52" s="30"/>
      <c r="F52" s="30"/>
      <c r="G52" s="35"/>
      <c r="H52" s="35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</row>
    <row r="53" spans="1:38" ht="12">
      <c r="A53" s="33"/>
      <c r="B53" s="29"/>
      <c r="C53" s="29"/>
      <c r="D53" s="36"/>
      <c r="E53" s="36"/>
      <c r="F53" s="36"/>
      <c r="G53" s="37"/>
      <c r="H53" s="37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1:38" ht="12">
      <c r="A54" s="31"/>
      <c r="B54" s="29"/>
      <c r="C54" s="29"/>
      <c r="D54" s="30"/>
      <c r="E54" s="30"/>
      <c r="F54" s="30"/>
      <c r="G54" s="35"/>
      <c r="H54" s="35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</row>
    <row r="55" spans="1:38" ht="12">
      <c r="A55" s="31"/>
      <c r="B55" s="29"/>
      <c r="C55" s="29"/>
      <c r="D55" s="29"/>
      <c r="E55" s="29"/>
      <c r="F55" s="29"/>
      <c r="G55" s="27"/>
      <c r="H55" s="27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</row>
    <row r="56" spans="1:38" ht="12">
      <c r="A56" s="31"/>
      <c r="B56" s="38"/>
      <c r="C56" s="29"/>
      <c r="D56" s="29"/>
      <c r="E56" s="29"/>
      <c r="F56" s="29"/>
      <c r="G56" s="27"/>
      <c r="H56" s="2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</row>
    <row r="57" spans="1:38" ht="12">
      <c r="A57" s="31"/>
      <c r="B57" s="38"/>
      <c r="C57" s="29"/>
      <c r="D57" s="29"/>
      <c r="E57" s="29"/>
      <c r="F57" s="29"/>
      <c r="G57" s="27"/>
      <c r="H57" s="27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</row>
    <row r="58" spans="1:38" ht="12">
      <c r="A58" s="31"/>
      <c r="B58" s="38"/>
      <c r="C58" s="29"/>
      <c r="D58" s="29"/>
      <c r="E58" s="29"/>
      <c r="F58" s="29"/>
      <c r="G58" s="27"/>
      <c r="H58" s="27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</row>
    <row r="59" spans="1:38" ht="12">
      <c r="A59" s="31"/>
      <c r="B59" s="38"/>
      <c r="C59" s="29"/>
      <c r="D59" s="29"/>
      <c r="E59" s="29"/>
      <c r="F59" s="29"/>
      <c r="G59" s="27"/>
      <c r="H59" s="27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</row>
    <row r="60" spans="1:38" ht="12">
      <c r="A60" s="31"/>
      <c r="B60" s="38"/>
      <c r="C60" s="29"/>
      <c r="D60" s="29"/>
      <c r="E60" s="29"/>
      <c r="F60" s="29"/>
      <c r="G60" s="27"/>
      <c r="H60" s="27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</row>
    <row r="61" spans="1:38" ht="12">
      <c r="A61" s="31"/>
      <c r="B61" s="38"/>
      <c r="C61" s="29"/>
      <c r="D61" s="29"/>
      <c r="E61" s="29"/>
      <c r="F61" s="29"/>
      <c r="G61" s="27"/>
      <c r="H61" s="27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</row>
    <row r="62" spans="1:38" ht="12">
      <c r="A62" s="31"/>
      <c r="B62" s="38"/>
      <c r="C62" s="29"/>
      <c r="D62" s="29"/>
      <c r="E62" s="29"/>
      <c r="F62" s="29"/>
      <c r="G62" s="27"/>
      <c r="H62" s="27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</row>
    <row r="63" spans="1:38" ht="12">
      <c r="A63" s="31"/>
      <c r="B63" s="38"/>
      <c r="C63" s="29"/>
      <c r="D63" s="29"/>
      <c r="E63" s="29"/>
      <c r="F63" s="29"/>
      <c r="G63" s="27"/>
      <c r="H63" s="27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</row>
    <row r="64" spans="1:38" ht="12">
      <c r="A64" s="31"/>
      <c r="B64" s="29"/>
      <c r="C64" s="29"/>
      <c r="D64" s="29"/>
      <c r="E64" s="29"/>
      <c r="F64" s="29"/>
      <c r="G64" s="27"/>
      <c r="H64" s="27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</row>
    <row r="65" spans="1:38" ht="12">
      <c r="A65" s="31"/>
      <c r="B65" s="29"/>
      <c r="C65" s="29"/>
      <c r="D65" s="29"/>
      <c r="E65" s="29"/>
      <c r="F65" s="29"/>
      <c r="G65" s="27"/>
      <c r="H65" s="27"/>
      <c r="O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</row>
    <row r="66" spans="1:38" ht="12">
      <c r="A66" s="31"/>
      <c r="B66" s="29"/>
      <c r="C66" s="29"/>
      <c r="D66" s="29"/>
      <c r="E66" s="29"/>
      <c r="F66" s="29"/>
      <c r="G66" s="27"/>
      <c r="H66" s="27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</row>
    <row r="67" spans="1:38" ht="12">
      <c r="A67" s="31"/>
      <c r="B67" s="29"/>
      <c r="C67" s="29"/>
      <c r="D67" s="29"/>
      <c r="E67" s="29"/>
      <c r="F67" s="29"/>
      <c r="G67" s="27"/>
      <c r="H67" s="27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</row>
    <row r="68" spans="1:38" ht="12">
      <c r="A68" s="31"/>
      <c r="B68" s="29"/>
      <c r="C68" s="29"/>
      <c r="D68" s="29"/>
      <c r="E68" s="29"/>
      <c r="F68" s="29"/>
      <c r="G68" s="27"/>
      <c r="H68" s="27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  <row r="69" spans="17:38" ht="12"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</row>
    <row r="70" spans="17:38" ht="12"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</row>
  </sheetData>
  <mergeCells count="7">
    <mergeCell ref="N19:O19"/>
    <mergeCell ref="N20:O20"/>
    <mergeCell ref="C2:G2"/>
    <mergeCell ref="C3:G3"/>
    <mergeCell ref="I8:K8"/>
    <mergeCell ref="I2:M2"/>
    <mergeCell ref="I3:M3"/>
  </mergeCells>
  <printOptions/>
  <pageMargins left="0.5" right="0.5" top="0.5" bottom="0.5" header="0.5" footer="0.5"/>
  <pageSetup fitToHeight="1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zoomScale="75" zoomScaleNormal="75" workbookViewId="0" topLeftCell="A1">
      <selection activeCell="G39" sqref="G39"/>
    </sheetView>
  </sheetViews>
  <sheetFormatPr defaultColWidth="9.140625" defaultRowHeight="12.75"/>
  <cols>
    <col min="1" max="1" width="15.140625" style="1" customWidth="1"/>
    <col min="2" max="2" width="6.7109375" style="2" customWidth="1"/>
    <col min="3" max="5" width="5.7109375" style="2" customWidth="1"/>
    <col min="6" max="6" width="12.28125" style="3" customWidth="1"/>
    <col min="7" max="7" width="3.8515625" style="3" customWidth="1"/>
    <col min="8" max="8" width="17.8515625" style="3" customWidth="1"/>
    <col min="9" max="9" width="13.421875" style="1" customWidth="1"/>
    <col min="10" max="10" width="7.421875" style="1" customWidth="1"/>
    <col min="11" max="11" width="6.421875" style="1" customWidth="1"/>
    <col min="12" max="12" width="5.7109375" style="1" customWidth="1"/>
    <col min="13" max="13" width="6.7109375" style="1" customWidth="1"/>
    <col min="14" max="14" width="9.7109375" style="1" customWidth="1"/>
    <col min="15" max="16384" width="9.140625" style="1" customWidth="1"/>
  </cols>
  <sheetData>
    <row r="1" spans="1:8" s="112" customFormat="1" ht="18">
      <c r="A1" s="109" t="s">
        <v>102</v>
      </c>
      <c r="B1" s="110"/>
      <c r="D1" s="110"/>
      <c r="E1" s="134" t="s">
        <v>190</v>
      </c>
      <c r="F1" s="111"/>
      <c r="G1" s="111"/>
      <c r="H1" s="111"/>
    </row>
    <row r="2" spans="1:16" s="99" customFormat="1" ht="18">
      <c r="A2" s="94"/>
      <c r="B2" s="95" t="s">
        <v>1</v>
      </c>
      <c r="C2" s="139" t="s">
        <v>186</v>
      </c>
      <c r="D2" s="139"/>
      <c r="E2" s="139"/>
      <c r="F2" s="139"/>
      <c r="G2" s="96"/>
      <c r="H2" s="95" t="s">
        <v>172</v>
      </c>
      <c r="I2" s="139" t="s">
        <v>188</v>
      </c>
      <c r="J2" s="139"/>
      <c r="K2" s="139"/>
      <c r="L2" s="97"/>
      <c r="M2" s="70" t="s">
        <v>71</v>
      </c>
      <c r="N2" s="98">
        <f>SUM(L6:L27,D7:D28)</f>
        <v>32</v>
      </c>
      <c r="O2" s="137" t="s">
        <v>169</v>
      </c>
      <c r="P2" s="137"/>
    </row>
    <row r="3" spans="1:16" s="99" customFormat="1" ht="18">
      <c r="A3" s="94"/>
      <c r="B3" s="95" t="s">
        <v>3</v>
      </c>
      <c r="C3" s="139" t="s">
        <v>187</v>
      </c>
      <c r="D3" s="139"/>
      <c r="E3" s="139"/>
      <c r="F3" s="139"/>
      <c r="G3" s="96"/>
      <c r="H3" s="95" t="s">
        <v>4</v>
      </c>
      <c r="I3" s="139" t="s">
        <v>73</v>
      </c>
      <c r="J3" s="139"/>
      <c r="K3" s="139"/>
      <c r="L3" s="97"/>
      <c r="M3" s="70" t="s">
        <v>72</v>
      </c>
      <c r="N3" s="100">
        <f>SUM(E6:E28,M6:M27)</f>
        <v>127</v>
      </c>
      <c r="O3" s="138">
        <f>SUM(N18:N27)</f>
        <v>0</v>
      </c>
      <c r="P3" s="138"/>
    </row>
    <row r="4" spans="1:16" ht="12">
      <c r="A4" s="24"/>
      <c r="B4" s="25"/>
      <c r="C4" s="25"/>
      <c r="D4" s="25"/>
      <c r="E4" s="25"/>
      <c r="F4" s="26"/>
      <c r="G4" s="26"/>
      <c r="H4" s="26"/>
      <c r="I4" s="24"/>
      <c r="J4" s="24"/>
      <c r="K4" s="24"/>
      <c r="L4" s="24"/>
      <c r="M4" s="24"/>
      <c r="N4" s="24"/>
      <c r="O4" s="24"/>
      <c r="P4" s="24"/>
    </row>
    <row r="5" spans="1:14" ht="12">
      <c r="A5" s="4" t="s">
        <v>5</v>
      </c>
      <c r="B5" s="64" t="s">
        <v>6</v>
      </c>
      <c r="C5" s="43"/>
      <c r="D5" s="64" t="s">
        <v>7</v>
      </c>
      <c r="E5" s="64" t="s">
        <v>8</v>
      </c>
      <c r="F5" s="71" t="s">
        <v>9</v>
      </c>
      <c r="G5" s="6"/>
      <c r="H5" s="6"/>
      <c r="I5" s="4" t="s">
        <v>10</v>
      </c>
      <c r="J5" s="64" t="s">
        <v>32</v>
      </c>
      <c r="K5" s="2"/>
      <c r="L5" s="64" t="s">
        <v>7</v>
      </c>
      <c r="M5" s="64" t="s">
        <v>8</v>
      </c>
      <c r="N5" s="71" t="s">
        <v>9</v>
      </c>
    </row>
    <row r="6" spans="1:14" ht="12">
      <c r="A6" s="118" t="s">
        <v>11</v>
      </c>
      <c r="B6" s="83">
        <v>32</v>
      </c>
      <c r="C6" s="39">
        <f>IF(N2&gt;B6,"Over Mass",IF(N2&lt;B6,"Under Mass",""))</f>
      </c>
      <c r="D6" s="44"/>
      <c r="E6" s="46">
        <f>B6</f>
        <v>32</v>
      </c>
      <c r="F6" s="69">
        <f>IF((ROUND(C7*100,0)&lt;10),"Hull Must Be 10%+","")</f>
      </c>
      <c r="I6" s="124" t="s">
        <v>15</v>
      </c>
      <c r="J6" s="83"/>
      <c r="K6" s="16" t="str">
        <f>IF(J6=0,"ok",IF(#REF!=0,"No PDS","ok"))</f>
        <v>ok</v>
      </c>
      <c r="L6" s="44">
        <f>2*J6</f>
        <v>0</v>
      </c>
      <c r="M6" s="46">
        <f>4*L6</f>
        <v>0</v>
      </c>
      <c r="N6" s="123"/>
    </row>
    <row r="7" spans="1:14" ht="12">
      <c r="A7" s="118" t="s">
        <v>79</v>
      </c>
      <c r="B7" s="83">
        <v>4</v>
      </c>
      <c r="C7" s="48">
        <f>(B7/B6)</f>
        <v>0.125</v>
      </c>
      <c r="D7" s="44">
        <f>B7</f>
        <v>4</v>
      </c>
      <c r="E7" s="46">
        <f aca="true" t="shared" si="0" ref="E7:E15">2*D7</f>
        <v>8</v>
      </c>
      <c r="F7" s="79" t="str">
        <f>IF(C7&lt;0.15,"Fragile Hull",IF(C7&lt;0.25,"Weak Hull",IF(C7&lt;0.35,"Average Hull",IF(C7&lt;0.45,"Strong Hull","Super Hull"))))</f>
        <v>Fragile Hull</v>
      </c>
      <c r="G7" s="79">
        <f>ROUNDUP((B6/20),0)</f>
        <v>2</v>
      </c>
      <c r="H7" s="80" t="s">
        <v>81</v>
      </c>
      <c r="I7" s="124" t="s">
        <v>110</v>
      </c>
      <c r="J7" s="83">
        <v>1</v>
      </c>
      <c r="K7" s="116"/>
      <c r="L7" s="45">
        <f>IF(J7&gt;0,J7*(MAX(1,ROUND(0.05*B6,0))),0)</f>
        <v>2</v>
      </c>
      <c r="M7" s="47">
        <f>3*L7</f>
        <v>6</v>
      </c>
      <c r="N7" s="123"/>
    </row>
    <row r="8" spans="1:15" ht="12">
      <c r="A8" s="118" t="s">
        <v>106</v>
      </c>
      <c r="B8" s="83"/>
      <c r="C8" s="48"/>
      <c r="D8" s="45">
        <f>B8</f>
        <v>0</v>
      </c>
      <c r="E8" s="47">
        <f>8*D8</f>
        <v>0</v>
      </c>
      <c r="F8" s="123" t="s">
        <v>29</v>
      </c>
      <c r="H8" s="41"/>
      <c r="I8" s="78" t="s">
        <v>76</v>
      </c>
      <c r="J8" s="113"/>
      <c r="K8" s="78"/>
      <c r="L8" s="77">
        <f>IF(J8&gt;0,MAX(2,ROUND(0.1*B6,0)),0)</f>
        <v>0</v>
      </c>
      <c r="M8" s="77">
        <f>L8*10</f>
        <v>0</v>
      </c>
      <c r="N8" s="123"/>
      <c r="O8" s="3"/>
    </row>
    <row r="9" spans="1:15" ht="12">
      <c r="A9" s="118" t="s">
        <v>105</v>
      </c>
      <c r="B9" s="83"/>
      <c r="C9" s="48"/>
      <c r="D9" s="45">
        <f>B9</f>
        <v>0</v>
      </c>
      <c r="E9" s="47">
        <f>6*D9</f>
        <v>0</v>
      </c>
      <c r="F9" s="123" t="s">
        <v>29</v>
      </c>
      <c r="H9" s="41"/>
      <c r="I9" s="50"/>
      <c r="J9" s="115"/>
      <c r="K9" s="50"/>
      <c r="L9" s="53"/>
      <c r="M9" s="53"/>
      <c r="N9" s="123"/>
      <c r="O9" s="3"/>
    </row>
    <row r="10" spans="1:14" ht="12">
      <c r="A10" s="118" t="s">
        <v>104</v>
      </c>
      <c r="B10" s="83"/>
      <c r="C10" s="48"/>
      <c r="D10" s="45">
        <f>B10</f>
        <v>0</v>
      </c>
      <c r="E10" s="47">
        <f>4*D10</f>
        <v>0</v>
      </c>
      <c r="F10" s="123" t="s">
        <v>29</v>
      </c>
      <c r="H10" s="41"/>
      <c r="I10" s="4" t="s">
        <v>16</v>
      </c>
      <c r="J10" s="64"/>
      <c r="K10" s="2"/>
      <c r="L10" s="44"/>
      <c r="M10" s="46"/>
      <c r="N10" s="123"/>
    </row>
    <row r="11" spans="1:14" ht="12">
      <c r="A11" s="118" t="s">
        <v>103</v>
      </c>
      <c r="B11" s="83">
        <v>3</v>
      </c>
      <c r="C11" s="42"/>
      <c r="D11" s="45">
        <f>B11</f>
        <v>3</v>
      </c>
      <c r="E11" s="47">
        <f t="shared" si="0"/>
        <v>6</v>
      </c>
      <c r="F11" s="123" t="s">
        <v>29</v>
      </c>
      <c r="I11" s="121" t="s">
        <v>19</v>
      </c>
      <c r="J11" s="83">
        <v>1</v>
      </c>
      <c r="K11" s="16" t="str">
        <f>IF(J11&gt;0,"ok",IF(SUM(B18:B26)&gt;0,"No FCon","ok"))</f>
        <v>ok</v>
      </c>
      <c r="L11" s="44">
        <f>J11</f>
        <v>1</v>
      </c>
      <c r="M11" s="46">
        <f>4*L11</f>
        <v>4</v>
      </c>
      <c r="N11" s="123"/>
    </row>
    <row r="12" spans="1:14" ht="12">
      <c r="A12" s="78" t="s">
        <v>13</v>
      </c>
      <c r="B12" s="113"/>
      <c r="C12" s="116">
        <f>IF(B12&lt;=2,B12*0.1,"0,1,2 valid")</f>
        <v>0</v>
      </c>
      <c r="D12" s="45">
        <f>IF(ROUND(B12*0.1*B6,0)&gt;0,ROUND(B12*0.1*B6,0),IF(B12&gt;0,1,0))</f>
        <v>0</v>
      </c>
      <c r="E12" s="77">
        <f t="shared" si="0"/>
        <v>0</v>
      </c>
      <c r="F12" s="78" t="s">
        <v>14</v>
      </c>
      <c r="G12" s="78"/>
      <c r="H12" s="78"/>
      <c r="I12" s="121" t="s">
        <v>34</v>
      </c>
      <c r="J12" s="83"/>
      <c r="K12" s="2"/>
      <c r="L12" s="44">
        <f>IF(J12=0,0,ROUND(1.5*J12,0))</f>
        <v>0</v>
      </c>
      <c r="M12" s="46">
        <f>3*L12</f>
        <v>0</v>
      </c>
      <c r="N12" s="123" t="s">
        <v>75</v>
      </c>
    </row>
    <row r="13" spans="1:14" ht="12">
      <c r="A13" s="118" t="s">
        <v>17</v>
      </c>
      <c r="B13" s="83">
        <v>6</v>
      </c>
      <c r="C13" s="116">
        <f>ABS(B13*0.05)</f>
        <v>0.30000000000000004</v>
      </c>
      <c r="D13" s="45">
        <f>IF(ABS(ROUND(B13*0.05*B6,0))&gt;0,ABS(ROUND(B13*0.05*B6,0)),IF(B13&gt;0,1,0))</f>
        <v>10</v>
      </c>
      <c r="E13" s="47">
        <f t="shared" si="0"/>
        <v>20</v>
      </c>
      <c r="F13" s="123" t="s">
        <v>18</v>
      </c>
      <c r="I13" s="121" t="s">
        <v>37</v>
      </c>
      <c r="J13" s="83"/>
      <c r="K13" s="2"/>
      <c r="L13" s="44">
        <f>J13</f>
        <v>0</v>
      </c>
      <c r="M13" s="46"/>
      <c r="N13" s="123" t="s">
        <v>38</v>
      </c>
    </row>
    <row r="14" spans="1:14" ht="12">
      <c r="A14" s="118" t="s">
        <v>20</v>
      </c>
      <c r="B14" s="83">
        <v>1</v>
      </c>
      <c r="C14" s="116">
        <f>IF(B14=0,0,IF(B14&lt;=2,0.1,"0,1,2 valid"))</f>
        <v>0.1</v>
      </c>
      <c r="D14" s="45">
        <f>IF(B14=0,0,IF(ROUND(0.1*B6,0)&gt;0,ROUND(0.1*B6,0),1))</f>
        <v>3</v>
      </c>
      <c r="E14" s="47">
        <f t="shared" si="0"/>
        <v>6</v>
      </c>
      <c r="F14" s="123" t="s">
        <v>21</v>
      </c>
      <c r="I14" s="121" t="s">
        <v>40</v>
      </c>
      <c r="J14" s="83"/>
      <c r="K14" s="2"/>
      <c r="L14" s="44">
        <f>J14</f>
        <v>0</v>
      </c>
      <c r="M14" s="46"/>
      <c r="N14" s="123" t="s">
        <v>41</v>
      </c>
    </row>
    <row r="15" spans="1:14" ht="12">
      <c r="A15" s="75" t="s">
        <v>23</v>
      </c>
      <c r="B15" s="114"/>
      <c r="C15" s="76" t="str">
        <f>IF(B14=2,"ok",IF(B15&lt;&gt;0,"Not Tug","ok"))</f>
        <v>ok</v>
      </c>
      <c r="D15" s="77">
        <f>IF(B14=2,ROUND(0.2*B15,0),0)</f>
        <v>0</v>
      </c>
      <c r="E15" s="77">
        <f t="shared" si="0"/>
        <v>0</v>
      </c>
      <c r="F15" s="78" t="s">
        <v>24</v>
      </c>
      <c r="G15" s="78"/>
      <c r="H15" s="78"/>
      <c r="I15" s="121" t="s">
        <v>43</v>
      </c>
      <c r="J15" s="83"/>
      <c r="K15" s="2"/>
      <c r="L15" s="44">
        <f>J15</f>
        <v>0</v>
      </c>
      <c r="M15" s="46"/>
      <c r="N15" s="123" t="s">
        <v>44</v>
      </c>
    </row>
    <row r="16" spans="1:14" ht="12">
      <c r="A16" s="118"/>
      <c r="B16" s="63"/>
      <c r="C16" s="42"/>
      <c r="D16" s="45"/>
      <c r="E16" s="47"/>
      <c r="I16" s="121"/>
      <c r="J16" s="63"/>
      <c r="K16" s="2"/>
      <c r="L16" s="44"/>
      <c r="M16" s="46"/>
      <c r="N16" s="3"/>
    </row>
    <row r="17" spans="1:14" ht="12">
      <c r="A17" s="4" t="s">
        <v>31</v>
      </c>
      <c r="B17" s="64" t="s">
        <v>32</v>
      </c>
      <c r="C17" s="5"/>
      <c r="D17" s="44"/>
      <c r="E17" s="46"/>
      <c r="I17" s="4" t="s">
        <v>46</v>
      </c>
      <c r="J17" s="58"/>
      <c r="K17" s="2"/>
      <c r="L17" s="44"/>
      <c r="M17" s="46"/>
      <c r="N17" s="3"/>
    </row>
    <row r="18" spans="1:14" ht="12">
      <c r="A18" s="122" t="s">
        <v>170</v>
      </c>
      <c r="B18" s="83">
        <v>1</v>
      </c>
      <c r="D18" s="45">
        <f>B18*2</f>
        <v>2</v>
      </c>
      <c r="E18" s="47">
        <f>5*D18</f>
        <v>10</v>
      </c>
      <c r="F18" s="123" t="s">
        <v>107</v>
      </c>
      <c r="I18" s="60" t="s">
        <v>160</v>
      </c>
      <c r="J18" s="83"/>
      <c r="K18" s="2"/>
      <c r="L18" s="44">
        <f aca="true" t="shared" si="1" ref="L18:L24">9*J18</f>
        <v>0</v>
      </c>
      <c r="M18" s="46">
        <f aca="true" t="shared" si="2" ref="M18:M24">27*J18</f>
        <v>0</v>
      </c>
      <c r="N18" s="87">
        <f>18*J18</f>
        <v>0</v>
      </c>
    </row>
    <row r="19" spans="1:14" ht="12">
      <c r="A19" s="122" t="s">
        <v>179</v>
      </c>
      <c r="B19" s="83">
        <v>1</v>
      </c>
      <c r="C19" s="49"/>
      <c r="D19" s="45">
        <f>B19*3</f>
        <v>3</v>
      </c>
      <c r="E19" s="47">
        <f>5*D19</f>
        <v>15</v>
      </c>
      <c r="F19" s="123" t="s">
        <v>108</v>
      </c>
      <c r="I19" s="60" t="s">
        <v>161</v>
      </c>
      <c r="J19" s="83"/>
      <c r="K19" s="2"/>
      <c r="L19" s="44">
        <f t="shared" si="1"/>
        <v>0</v>
      </c>
      <c r="M19" s="46">
        <f t="shared" si="2"/>
        <v>0</v>
      </c>
      <c r="N19" s="87">
        <f>30*J19</f>
        <v>0</v>
      </c>
    </row>
    <row r="20" spans="1:14" ht="12">
      <c r="A20" s="122" t="s">
        <v>180</v>
      </c>
      <c r="B20" s="83">
        <v>1</v>
      </c>
      <c r="C20" s="49"/>
      <c r="D20" s="45">
        <f>B20*4</f>
        <v>4</v>
      </c>
      <c r="E20" s="47">
        <f>5*D20</f>
        <v>20</v>
      </c>
      <c r="F20" s="123" t="s">
        <v>109</v>
      </c>
      <c r="I20" s="78" t="s">
        <v>52</v>
      </c>
      <c r="J20" s="113"/>
      <c r="K20" s="81"/>
      <c r="L20" s="82">
        <f t="shared" si="1"/>
        <v>0</v>
      </c>
      <c r="M20" s="82">
        <f t="shared" si="2"/>
        <v>0</v>
      </c>
      <c r="N20" s="82">
        <f>24*J20</f>
        <v>0</v>
      </c>
    </row>
    <row r="21" spans="1:14" ht="12">
      <c r="A21" s="122" t="s">
        <v>111</v>
      </c>
      <c r="B21" s="83"/>
      <c r="D21" s="45">
        <f>5*B21</f>
        <v>0</v>
      </c>
      <c r="E21" s="47">
        <f aca="true" t="shared" si="3" ref="E21:E26">3*D21</f>
        <v>0</v>
      </c>
      <c r="F21" s="123" t="s">
        <v>117</v>
      </c>
      <c r="I21" s="60" t="s">
        <v>162</v>
      </c>
      <c r="J21" s="83"/>
      <c r="K21" s="2"/>
      <c r="L21" s="44">
        <f t="shared" si="1"/>
        <v>0</v>
      </c>
      <c r="M21" s="46">
        <f t="shared" si="2"/>
        <v>0</v>
      </c>
      <c r="N21" s="87">
        <f>18*J21</f>
        <v>0</v>
      </c>
    </row>
    <row r="22" spans="1:14" ht="12">
      <c r="A22" s="122" t="s">
        <v>112</v>
      </c>
      <c r="B22" s="83"/>
      <c r="D22" s="45">
        <f>10*B22</f>
        <v>0</v>
      </c>
      <c r="E22" s="47">
        <f t="shared" si="3"/>
        <v>0</v>
      </c>
      <c r="F22" s="123" t="s">
        <v>118</v>
      </c>
      <c r="I22" s="78" t="s">
        <v>58</v>
      </c>
      <c r="J22" s="113"/>
      <c r="K22" s="81"/>
      <c r="L22" s="82">
        <f t="shared" si="1"/>
        <v>0</v>
      </c>
      <c r="M22" s="82">
        <f t="shared" si="2"/>
        <v>0</v>
      </c>
      <c r="N22" s="82">
        <f>24*J22</f>
        <v>0</v>
      </c>
    </row>
    <row r="23" spans="1:14" ht="12">
      <c r="A23" s="122" t="s">
        <v>113</v>
      </c>
      <c r="B23" s="83"/>
      <c r="D23" s="45">
        <f>15*B23</f>
        <v>0</v>
      </c>
      <c r="E23" s="47">
        <f t="shared" si="3"/>
        <v>0</v>
      </c>
      <c r="F23" s="123" t="s">
        <v>119</v>
      </c>
      <c r="I23" s="78" t="s">
        <v>60</v>
      </c>
      <c r="J23" s="113"/>
      <c r="K23" s="81"/>
      <c r="L23" s="82">
        <f t="shared" si="1"/>
        <v>0</v>
      </c>
      <c r="M23" s="82">
        <f t="shared" si="2"/>
        <v>0</v>
      </c>
      <c r="N23" s="82">
        <f>24*J23</f>
        <v>0</v>
      </c>
    </row>
    <row r="24" spans="1:14" ht="12">
      <c r="A24" s="122" t="s">
        <v>114</v>
      </c>
      <c r="B24" s="83"/>
      <c r="D24" s="45">
        <f>20*B24</f>
        <v>0</v>
      </c>
      <c r="E24" s="47">
        <f t="shared" si="3"/>
        <v>0</v>
      </c>
      <c r="F24" s="123" t="s">
        <v>120</v>
      </c>
      <c r="I24" s="78" t="s">
        <v>62</v>
      </c>
      <c r="J24" s="113"/>
      <c r="K24" s="81"/>
      <c r="L24" s="82">
        <f t="shared" si="1"/>
        <v>0</v>
      </c>
      <c r="M24" s="82">
        <f t="shared" si="2"/>
        <v>0</v>
      </c>
      <c r="N24" s="82">
        <f>36*J24</f>
        <v>0</v>
      </c>
    </row>
    <row r="25" spans="1:14" ht="12">
      <c r="A25" s="122" t="s">
        <v>115</v>
      </c>
      <c r="B25" s="83"/>
      <c r="D25" s="45">
        <f>25*B25</f>
        <v>0</v>
      </c>
      <c r="E25" s="47">
        <f t="shared" si="3"/>
        <v>0</v>
      </c>
      <c r="F25" s="123" t="s">
        <v>121</v>
      </c>
      <c r="I25" s="78" t="s">
        <v>64</v>
      </c>
      <c r="J25" s="113"/>
      <c r="K25" s="76" t="str">
        <f>IF(J25&gt;(J18+SUM(J20:J24)),"Too Many","ok")</f>
        <v>ok</v>
      </c>
      <c r="L25" s="82"/>
      <c r="M25" s="82">
        <f>12*J25</f>
        <v>0</v>
      </c>
      <c r="N25" s="82">
        <f>12*J25</f>
        <v>0</v>
      </c>
    </row>
    <row r="26" spans="1:14" ht="12">
      <c r="A26" s="122" t="s">
        <v>116</v>
      </c>
      <c r="B26" s="83"/>
      <c r="D26" s="45">
        <f>30*B26</f>
        <v>0</v>
      </c>
      <c r="E26" s="47">
        <f t="shared" si="3"/>
        <v>0</v>
      </c>
      <c r="F26" s="123" t="s">
        <v>122</v>
      </c>
      <c r="I26" s="78" t="s">
        <v>66</v>
      </c>
      <c r="J26" s="113"/>
      <c r="K26" s="76" t="str">
        <f>IF(J26&gt;(J18+J19+SUM(J21:J24)),"TooMany","ok")</f>
        <v>ok</v>
      </c>
      <c r="L26" s="82"/>
      <c r="M26" s="82">
        <f>6*J26</f>
        <v>0</v>
      </c>
      <c r="N26" s="82">
        <f>6*J26</f>
        <v>0</v>
      </c>
    </row>
    <row r="27" spans="1:14" ht="12">
      <c r="A27" s="122"/>
      <c r="B27" s="8"/>
      <c r="D27" s="45"/>
      <c r="E27" s="47"/>
      <c r="I27" s="78" t="s">
        <v>68</v>
      </c>
      <c r="J27" s="113"/>
      <c r="K27" s="76" t="str">
        <f>IF(J27&gt;(SUM(J18:J22)+J24),"Too Many","ok")</f>
        <v>ok</v>
      </c>
      <c r="L27" s="82"/>
      <c r="M27" s="82">
        <f>6*J27</f>
        <v>0</v>
      </c>
      <c r="N27" s="82">
        <f>6*J27</f>
        <v>0</v>
      </c>
    </row>
    <row r="28" spans="1:14" ht="12">
      <c r="A28" s="122"/>
      <c r="B28" s="23"/>
      <c r="D28" s="45"/>
      <c r="E28" s="47"/>
      <c r="I28" s="4"/>
      <c r="J28" s="2"/>
      <c r="K28" s="2"/>
      <c r="L28" s="64"/>
      <c r="M28" s="64"/>
      <c r="N28" s="71"/>
    </row>
    <row r="29" spans="1:11" ht="12">
      <c r="A29" s="122"/>
      <c r="B29" s="23"/>
      <c r="C29" s="16"/>
      <c r="D29" s="7"/>
      <c r="E29" s="7"/>
      <c r="J29" s="2"/>
      <c r="K29" s="2"/>
    </row>
    <row r="30" spans="1:5" ht="12">
      <c r="A30" s="125"/>
      <c r="B30" s="8"/>
      <c r="D30" s="7"/>
      <c r="E30" s="7"/>
    </row>
    <row r="31" spans="1:5" ht="12">
      <c r="A31" s="122"/>
      <c r="B31" s="23"/>
      <c r="C31" s="16"/>
      <c r="D31" s="7"/>
      <c r="E31" s="7"/>
    </row>
    <row r="32" spans="1:5" ht="12">
      <c r="A32" s="122"/>
      <c r="B32" s="23"/>
      <c r="C32" s="16"/>
      <c r="D32" s="7"/>
      <c r="E32" s="7"/>
    </row>
    <row r="33" spans="1:5" ht="12">
      <c r="A33" s="3"/>
      <c r="B33" s="23"/>
      <c r="C33" s="16"/>
      <c r="D33" s="7"/>
      <c r="E33" s="7"/>
    </row>
    <row r="34" spans="1:5" ht="12">
      <c r="A34" s="3"/>
      <c r="B34" s="23"/>
      <c r="D34" s="7"/>
      <c r="E34" s="7"/>
    </row>
    <row r="35" spans="1:5" ht="12">
      <c r="A35" s="3"/>
      <c r="B35" s="23"/>
      <c r="D35" s="7"/>
      <c r="E35" s="7"/>
    </row>
    <row r="36" spans="1:5" ht="12">
      <c r="A36" s="3"/>
      <c r="B36" s="23"/>
      <c r="D36" s="7"/>
      <c r="E36" s="7"/>
    </row>
    <row r="37" spans="1:38" ht="12">
      <c r="A37" s="27"/>
      <c r="B37" s="28"/>
      <c r="C37" s="29"/>
      <c r="D37" s="30"/>
      <c r="E37" s="30"/>
      <c r="F37" s="27"/>
      <c r="G37" s="27"/>
      <c r="H37" s="27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</row>
    <row r="38" spans="1:38" ht="12">
      <c r="A38" s="27"/>
      <c r="B38" s="28"/>
      <c r="C38" s="29"/>
      <c r="D38" s="30"/>
      <c r="E38" s="30"/>
      <c r="F38" s="27"/>
      <c r="G38" s="27"/>
      <c r="H38" s="27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</row>
    <row r="39" spans="1:38" ht="12">
      <c r="A39" s="27"/>
      <c r="B39" s="28"/>
      <c r="C39" s="29"/>
      <c r="D39" s="30"/>
      <c r="E39" s="30"/>
      <c r="F39" s="27"/>
      <c r="G39" s="56"/>
      <c r="H39" s="56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</row>
    <row r="40" spans="1:38" ht="12">
      <c r="A40" s="33"/>
      <c r="B40" s="34"/>
      <c r="C40" s="29"/>
      <c r="D40" s="30"/>
      <c r="E40" s="30"/>
      <c r="F40" s="27"/>
      <c r="G40" s="27"/>
      <c r="H40" s="27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</row>
    <row r="41" spans="1:38" ht="12">
      <c r="A41" s="27"/>
      <c r="B41" s="28"/>
      <c r="C41" s="29"/>
      <c r="D41" s="30"/>
      <c r="E41" s="30"/>
      <c r="F41" s="35"/>
      <c r="G41" s="27"/>
      <c r="H41" s="27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</row>
    <row r="42" spans="1:38" ht="12">
      <c r="A42" s="27"/>
      <c r="B42" s="28"/>
      <c r="C42" s="29"/>
      <c r="D42" s="30"/>
      <c r="E42" s="30"/>
      <c r="F42" s="35"/>
      <c r="G42" s="27"/>
      <c r="H42" s="27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1:38" ht="12">
      <c r="A43" s="27"/>
      <c r="B43" s="28"/>
      <c r="C43" s="29"/>
      <c r="D43" s="30"/>
      <c r="E43" s="30"/>
      <c r="F43" s="35"/>
      <c r="G43" s="27"/>
      <c r="H43" s="27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</row>
    <row r="44" spans="1:38" ht="12">
      <c r="A44" s="27"/>
      <c r="B44" s="28"/>
      <c r="C44" s="29"/>
      <c r="D44" s="30"/>
      <c r="E44" s="30"/>
      <c r="F44" s="35"/>
      <c r="G44" s="27"/>
      <c r="H44" s="27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</row>
    <row r="45" spans="1:38" ht="12">
      <c r="A45" s="27"/>
      <c r="B45" s="28"/>
      <c r="C45" s="29"/>
      <c r="D45" s="30"/>
      <c r="E45" s="30"/>
      <c r="F45" s="35"/>
      <c r="G45" s="27"/>
      <c r="H45" s="27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</row>
    <row r="46" spans="1:38" ht="12">
      <c r="A46" s="27"/>
      <c r="B46" s="28"/>
      <c r="C46" s="29"/>
      <c r="D46" s="30"/>
      <c r="E46" s="30"/>
      <c r="F46" s="35"/>
      <c r="G46" s="27"/>
      <c r="H46" s="27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1:38" ht="12">
      <c r="A47" s="27"/>
      <c r="B47" s="28"/>
      <c r="C47" s="29"/>
      <c r="D47" s="30"/>
      <c r="E47" s="30"/>
      <c r="F47" s="35"/>
      <c r="G47" s="35"/>
      <c r="H47" s="35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</row>
    <row r="48" spans="1:38" ht="12">
      <c r="A48" s="27"/>
      <c r="B48" s="28"/>
      <c r="C48" s="32"/>
      <c r="D48" s="30"/>
      <c r="E48" s="30"/>
      <c r="F48" s="35"/>
      <c r="G48" s="35"/>
      <c r="H48" s="35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1:38" ht="12">
      <c r="A49" s="27"/>
      <c r="B49" s="28"/>
      <c r="C49" s="32"/>
      <c r="D49" s="30"/>
      <c r="E49" s="30"/>
      <c r="F49" s="35"/>
      <c r="G49" s="35"/>
      <c r="H49" s="35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  <row r="50" spans="1:38" ht="12">
      <c r="A50" s="27"/>
      <c r="B50" s="28"/>
      <c r="C50" s="32"/>
      <c r="D50" s="30"/>
      <c r="E50" s="30"/>
      <c r="F50" s="35"/>
      <c r="G50" s="35"/>
      <c r="H50" s="35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</row>
    <row r="51" spans="1:38" ht="12">
      <c r="A51" s="33"/>
      <c r="B51" s="29"/>
      <c r="C51" s="29"/>
      <c r="D51" s="36"/>
      <c r="E51" s="36"/>
      <c r="F51" s="37"/>
      <c r="G51" s="35"/>
      <c r="H51" s="35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1:38" ht="12">
      <c r="A52" s="31"/>
      <c r="B52" s="29"/>
      <c r="C52" s="29"/>
      <c r="D52" s="30"/>
      <c r="E52" s="30"/>
      <c r="F52" s="35"/>
      <c r="G52" s="35"/>
      <c r="H52" s="35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</row>
    <row r="53" spans="1:38" ht="12">
      <c r="A53" s="31"/>
      <c r="B53" s="29"/>
      <c r="C53" s="29"/>
      <c r="D53" s="29"/>
      <c r="E53" s="29"/>
      <c r="F53" s="27"/>
      <c r="G53" s="35"/>
      <c r="H53" s="35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1:38" ht="12">
      <c r="A54" s="31"/>
      <c r="B54" s="38"/>
      <c r="C54" s="29"/>
      <c r="D54" s="29"/>
      <c r="E54" s="29"/>
      <c r="F54" s="27"/>
      <c r="G54" s="35"/>
      <c r="H54" s="35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</row>
    <row r="55" spans="1:38" ht="12">
      <c r="A55" s="31"/>
      <c r="B55" s="38"/>
      <c r="C55" s="29"/>
      <c r="D55" s="29"/>
      <c r="E55" s="29"/>
      <c r="F55" s="27"/>
      <c r="G55" s="35"/>
      <c r="H55" s="35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</row>
    <row r="56" spans="1:38" ht="12">
      <c r="A56" s="31"/>
      <c r="B56" s="38"/>
      <c r="C56" s="29"/>
      <c r="D56" s="29"/>
      <c r="E56" s="29"/>
      <c r="F56" s="27"/>
      <c r="G56" s="35"/>
      <c r="H56" s="35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</row>
    <row r="57" spans="1:38" ht="12">
      <c r="A57" s="31"/>
      <c r="B57" s="38"/>
      <c r="C57" s="29"/>
      <c r="D57" s="29"/>
      <c r="E57" s="29"/>
      <c r="F57" s="27"/>
      <c r="G57" s="37"/>
      <c r="H57" s="37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</row>
    <row r="58" spans="1:38" ht="12">
      <c r="A58" s="31"/>
      <c r="B58" s="38"/>
      <c r="C58" s="29"/>
      <c r="D58" s="29"/>
      <c r="E58" s="29"/>
      <c r="F58" s="27"/>
      <c r="G58" s="35"/>
      <c r="H58" s="35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</row>
    <row r="59" spans="1:38" ht="12">
      <c r="A59" s="31"/>
      <c r="B59" s="38"/>
      <c r="C59" s="29"/>
      <c r="D59" s="29"/>
      <c r="E59" s="29"/>
      <c r="F59" s="27"/>
      <c r="G59" s="27"/>
      <c r="H59" s="27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</row>
    <row r="60" spans="1:38" ht="12">
      <c r="A60" s="31"/>
      <c r="B60" s="38"/>
      <c r="C60" s="29"/>
      <c r="D60" s="29"/>
      <c r="E60" s="29"/>
      <c r="F60" s="27"/>
      <c r="G60" s="27"/>
      <c r="H60" s="27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</row>
    <row r="61" spans="1:38" ht="12">
      <c r="A61" s="31"/>
      <c r="B61" s="38"/>
      <c r="C61" s="29"/>
      <c r="D61" s="29"/>
      <c r="E61" s="29"/>
      <c r="F61" s="27"/>
      <c r="G61" s="27"/>
      <c r="H61" s="27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</row>
    <row r="62" spans="1:38" ht="12">
      <c r="A62" s="31"/>
      <c r="B62" s="29"/>
      <c r="C62" s="29"/>
      <c r="D62" s="29"/>
      <c r="E62" s="29"/>
      <c r="F62" s="27"/>
      <c r="G62" s="27"/>
      <c r="H62" s="27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</row>
    <row r="63" spans="1:38" ht="12">
      <c r="A63" s="31"/>
      <c r="B63" s="29"/>
      <c r="C63" s="29"/>
      <c r="D63" s="29"/>
      <c r="E63" s="29"/>
      <c r="F63" s="27"/>
      <c r="G63" s="27"/>
      <c r="H63" s="27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</row>
    <row r="64" spans="1:38" ht="12">
      <c r="A64" s="31"/>
      <c r="B64" s="29"/>
      <c r="C64" s="29"/>
      <c r="D64" s="29"/>
      <c r="E64" s="29"/>
      <c r="F64" s="27"/>
      <c r="G64" s="27"/>
      <c r="H64" s="27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</row>
    <row r="65" spans="1:38" ht="12">
      <c r="A65" s="31"/>
      <c r="B65" s="29"/>
      <c r="C65" s="29"/>
      <c r="D65" s="29"/>
      <c r="E65" s="29"/>
      <c r="F65" s="27"/>
      <c r="G65" s="27"/>
      <c r="H65" s="27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</row>
    <row r="66" spans="1:38" ht="12">
      <c r="A66" s="31"/>
      <c r="B66" s="29"/>
      <c r="C66" s="29"/>
      <c r="D66" s="29"/>
      <c r="E66" s="29"/>
      <c r="F66" s="27"/>
      <c r="G66" s="27"/>
      <c r="H66" s="27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</row>
    <row r="67" spans="7:38" ht="12">
      <c r="G67" s="27"/>
      <c r="H67" s="27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</row>
    <row r="68" spans="7:38" ht="12">
      <c r="G68" s="27"/>
      <c r="H68" s="27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  <row r="69" spans="7:38" ht="12">
      <c r="G69" s="27"/>
      <c r="H69" s="27"/>
      <c r="I69" s="31"/>
      <c r="J69" s="31"/>
      <c r="K69" s="31"/>
      <c r="L69" s="31"/>
      <c r="M69" s="31"/>
      <c r="N69" s="31"/>
      <c r="O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</row>
    <row r="70" spans="7:38" ht="12">
      <c r="G70" s="27"/>
      <c r="H70" s="27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</row>
    <row r="71" spans="7:8" ht="12">
      <c r="G71" s="27"/>
      <c r="H71" s="27"/>
    </row>
    <row r="72" spans="7:8" ht="12">
      <c r="G72" s="27"/>
      <c r="H72" s="27"/>
    </row>
  </sheetData>
  <mergeCells count="6">
    <mergeCell ref="O3:P3"/>
    <mergeCell ref="O2:P2"/>
    <mergeCell ref="C2:F2"/>
    <mergeCell ref="C3:F3"/>
    <mergeCell ref="I2:K2"/>
    <mergeCell ref="I3:K3"/>
  </mergeCells>
  <printOptions/>
  <pageMargins left="0.5" right="0.5" top="0.5" bottom="0.5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ARCO Alaska,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Noble</dc:creator>
  <cp:keywords/>
  <dc:description/>
  <cp:lastModifiedBy>Dean J Gundberg</cp:lastModifiedBy>
  <cp:lastPrinted>1999-07-13T22:01:40Z</cp:lastPrinted>
  <dcterms:created xsi:type="dcterms:W3CDTF">1998-07-17T19:26:48Z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SHFileName">
    <vt:lpwstr>c:\palm\noblej\qsheet\GZG\Solve for Mass v04q.qsh</vt:lpwstr>
  </property>
</Properties>
</file>